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780" windowWidth="15480" windowHeight="7410" tabRatio="585"/>
  </bookViews>
  <sheets>
    <sheet name="CE RICL.TO A PIL E ROC ok" sheetId="1" r:id="rId1"/>
    <sheet name="SP  DESTINATIVO FINANZIARIO" sheetId="2" r:id="rId2"/>
    <sheet name="Rendiconto finanz liquidità" sheetId="7" r:id="rId3"/>
    <sheet name="INDICI" sheetId="4" r:id="rId4"/>
  </sheets>
  <externalReferences>
    <externalReference r:id="rId5"/>
  </externalReferences>
  <definedNames>
    <definedName name="_xlnm.Print_Area" localSheetId="0">'CE RICL.TO A PIL E ROC ok'!$A$1:$G$33</definedName>
    <definedName name="_xlnm.Print_Area" localSheetId="3">INDICI!$A$1:$D$69</definedName>
  </definedNames>
  <calcPr calcId="125725"/>
</workbook>
</file>

<file path=xl/calcChain.xml><?xml version="1.0" encoding="utf-8"?>
<calcChain xmlns="http://schemas.openxmlformats.org/spreadsheetml/2006/main">
  <c r="C6" i="2"/>
  <c r="D5"/>
  <c r="E7"/>
  <c r="E8"/>
  <c r="F6"/>
  <c r="E12"/>
  <c r="E13"/>
  <c r="B14"/>
  <c r="C11"/>
  <c r="E14"/>
  <c r="E15"/>
  <c r="E16"/>
  <c r="E17"/>
  <c r="E18"/>
  <c r="B19"/>
  <c r="E19"/>
  <c r="B20"/>
  <c r="E20"/>
  <c r="E21"/>
  <c r="B22"/>
  <c r="E22"/>
  <c r="E23"/>
  <c r="E27"/>
  <c r="B28"/>
  <c r="C26"/>
  <c r="B34"/>
  <c r="E34"/>
  <c r="F33"/>
  <c r="G32"/>
  <c r="B35"/>
  <c r="E35"/>
  <c r="B23" i="4"/>
  <c r="B19"/>
  <c r="B27" i="7"/>
  <c r="B22"/>
  <c r="B21"/>
  <c r="B20"/>
  <c r="B15"/>
  <c r="B18"/>
  <c r="B16"/>
  <c r="B14"/>
  <c r="B13"/>
  <c r="B12"/>
  <c r="B11"/>
  <c r="B9"/>
  <c r="B6"/>
  <c r="B5"/>
  <c r="B4"/>
  <c r="B3"/>
  <c r="B17"/>
  <c r="C67" i="2"/>
  <c r="C106"/>
  <c r="B99"/>
  <c r="B82"/>
  <c r="B38"/>
  <c r="B58"/>
  <c r="B54"/>
  <c r="B42"/>
  <c r="C18" i="1"/>
  <c r="C24"/>
  <c r="C19"/>
  <c r="B16"/>
  <c r="C15"/>
  <c r="C14"/>
  <c r="C8"/>
  <c r="D11"/>
  <c r="C7"/>
  <c r="B24" i="4"/>
  <c r="D23" s="1"/>
  <c r="B53" i="2"/>
  <c r="B49"/>
  <c r="B47"/>
  <c r="C46"/>
  <c r="B47" i="4"/>
  <c r="C21" i="1"/>
  <c r="C90" i="2"/>
  <c r="D105"/>
  <c r="B63" i="4"/>
  <c r="C57" i="2"/>
  <c r="C30" i="1"/>
  <c r="B18" i="4"/>
  <c r="D18" s="1"/>
  <c r="B54"/>
  <c r="D53" s="1"/>
  <c r="B68"/>
  <c r="D66" i="2"/>
  <c r="B41" i="4"/>
  <c r="D40"/>
  <c r="B7"/>
  <c r="B13"/>
  <c r="B12"/>
  <c r="D12"/>
  <c r="B6"/>
  <c r="D6"/>
  <c r="B64"/>
  <c r="D63"/>
  <c r="B69"/>
  <c r="D68"/>
  <c r="D64" i="2"/>
  <c r="E11" i="1"/>
  <c r="E18"/>
  <c r="E12"/>
  <c r="E10"/>
  <c r="E24"/>
  <c r="E7"/>
  <c r="E28"/>
  <c r="E30"/>
  <c r="E13"/>
  <c r="E14"/>
  <c r="E8"/>
  <c r="E21"/>
  <c r="E15"/>
  <c r="E6"/>
  <c r="D20"/>
  <c r="E5"/>
  <c r="E9"/>
  <c r="E19"/>
  <c r="D121" i="2"/>
  <c r="E92"/>
  <c r="E69"/>
  <c r="E75"/>
  <c r="E116"/>
  <c r="E83"/>
  <c r="E120"/>
  <c r="E108"/>
  <c r="E88"/>
  <c r="E72"/>
  <c r="E103"/>
  <c r="E70"/>
  <c r="E96"/>
  <c r="E102"/>
  <c r="E112"/>
  <c r="E76"/>
  <c r="E111"/>
  <c r="E98"/>
  <c r="E68"/>
  <c r="E113"/>
  <c r="E85"/>
  <c r="E104"/>
  <c r="E86"/>
  <c r="E89"/>
  <c r="E118"/>
  <c r="E81"/>
  <c r="E87"/>
  <c r="E94"/>
  <c r="E78"/>
  <c r="E115"/>
  <c r="E71"/>
  <c r="E91"/>
  <c r="E117"/>
  <c r="E97"/>
  <c r="E107"/>
  <c r="E114"/>
  <c r="E73"/>
  <c r="E82"/>
  <c r="E79"/>
  <c r="E74"/>
  <c r="E77"/>
  <c r="E93"/>
  <c r="E100"/>
  <c r="E80"/>
  <c r="E95"/>
  <c r="E84"/>
  <c r="E99"/>
  <c r="E110"/>
  <c r="E101"/>
  <c r="E119"/>
  <c r="E109"/>
  <c r="D27" i="1"/>
  <c r="F20"/>
  <c r="B31" i="4"/>
  <c r="E53" i="2"/>
  <c r="E42"/>
  <c r="E58"/>
  <c r="E43"/>
  <c r="E50"/>
  <c r="E49"/>
  <c r="E44"/>
  <c r="E37"/>
  <c r="E39"/>
  <c r="E60"/>
  <c r="E38"/>
  <c r="E36"/>
  <c r="E55"/>
  <c r="E40"/>
  <c r="E47"/>
  <c r="E62"/>
  <c r="E52"/>
  <c r="E61"/>
  <c r="E63"/>
  <c r="E51"/>
  <c r="E41"/>
  <c r="E48"/>
  <c r="E59"/>
  <c r="E54"/>
  <c r="F46"/>
  <c r="F57"/>
  <c r="F106"/>
  <c r="G105"/>
  <c r="F67"/>
  <c r="G66"/>
  <c r="G121"/>
  <c r="D29" i="1"/>
  <c r="F27"/>
  <c r="F90" i="2"/>
  <c r="G64"/>
  <c r="D33" i="1"/>
  <c r="F29"/>
  <c r="B30" i="4"/>
  <c r="D30"/>
  <c r="F33" i="1"/>
  <c r="F11" i="2"/>
  <c r="G5"/>
  <c r="C33"/>
  <c r="D32"/>
  <c r="E28"/>
  <c r="F26"/>
  <c r="B10" i="7"/>
  <c r="B19"/>
  <c r="B24"/>
  <c r="B26"/>
  <c r="B28"/>
  <c r="D46" i="4"/>
</calcChain>
</file>

<file path=xl/sharedStrings.xml><?xml version="1.0" encoding="utf-8"?>
<sst xmlns="http://schemas.openxmlformats.org/spreadsheetml/2006/main" count="231" uniqueCount="210">
  <si>
    <t xml:space="preserve">DESCRIZIONE  </t>
  </si>
  <si>
    <t xml:space="preserve">PARZIALI </t>
  </si>
  <si>
    <t>TOTALI</t>
  </si>
  <si>
    <t>VALORI %</t>
  </si>
  <si>
    <t>+ ricavi da  attività di servizi alla persona</t>
  </si>
  <si>
    <t>+ proventi della gestione immobiliare (fitti attivi)</t>
  </si>
  <si>
    <t>+ proventi e ricavi diversi della gestione caratteristica</t>
  </si>
  <si>
    <t>+ contributi in conto esercizio</t>
  </si>
  <si>
    <t>+/- variazione delle rimanenze di attività in corso:</t>
  </si>
  <si>
    <t>+ costi capitalizzati (al netto  della quota per utilizzo contributi in conto capitale)</t>
  </si>
  <si>
    <t>Prodotto Interno Lordo caratteristico (PIL)</t>
  </si>
  <si>
    <t>- Costi per acquisizione  di beni sanitari e tecnico economali</t>
  </si>
  <si>
    <t>+/- variazione delle rimanenze di beni sanitari e tecnico economali</t>
  </si>
  <si>
    <t>- Ammortamenti:</t>
  </si>
  <si>
    <t xml:space="preserve">    - delle immobilizzazioni materiali ed immateriali</t>
  </si>
  <si>
    <t xml:space="preserve">   -  rettifica per quota utilizzo contributi in conto capitale</t>
  </si>
  <si>
    <t>- Accantonamenti,  perdite e svalutazione crediti</t>
  </si>
  <si>
    <t>Risultato Operativo Caratteristico (ROC)</t>
  </si>
  <si>
    <t>+ proventi della gestione accessoria:</t>
  </si>
  <si>
    <t xml:space="preserve">   - proventi finanziari</t>
  </si>
  <si>
    <t xml:space="preserve">   - altri proventi accessori ordinari (ivi incluse sopravvenienze/insussistenze ordinarie)</t>
  </si>
  <si>
    <t>- oneri della gestione accessoria:</t>
  </si>
  <si>
    <t xml:space="preserve">   - oneri finanziari</t>
  </si>
  <si>
    <t xml:space="preserve">   - altri costi accessori ordinari
(ivi incluse sopravvenienze/insussistenze ordinarie)</t>
  </si>
  <si>
    <t>Risultato Ordinario (RO)</t>
  </si>
  <si>
    <t xml:space="preserve">Risultato prima delle imposte </t>
  </si>
  <si>
    <t>- imposte sul "reddito":</t>
  </si>
  <si>
    <t xml:space="preserve">   - IRES</t>
  </si>
  <si>
    <t>Risultato Netto (RN)</t>
  </si>
  <si>
    <t xml:space="preserve">ATTIVITA' – INVESTIMENTI </t>
  </si>
  <si>
    <t xml:space="preserve">CAPITALE CIRCOLANTE </t>
  </si>
  <si>
    <t xml:space="preserve">Liquidità immediate </t>
  </si>
  <si>
    <t xml:space="preserve">. Cassa </t>
  </si>
  <si>
    <t>. Banche c/c attivi</t>
  </si>
  <si>
    <t>. c/c postali</t>
  </si>
  <si>
    <t xml:space="preserve">. …... </t>
  </si>
  <si>
    <t xml:space="preserve">Liquidità differite </t>
  </si>
  <si>
    <t xml:space="preserve">. Crediti a breve termine verso la Regione </t>
  </si>
  <si>
    <t xml:space="preserve">. Crediti a breve termine verso la Provincia </t>
  </si>
  <si>
    <t xml:space="preserve">. Crediti a breve termine verso i Comuni dell'ambito distrettuale </t>
  </si>
  <si>
    <t xml:space="preserve">. Crediti a breve termine verso l'Azienda Sanitaria </t>
  </si>
  <si>
    <t xml:space="preserve">. Crediti a breve termine verso lo Stato ed altri Enti pubblici </t>
  </si>
  <si>
    <t xml:space="preserve">. Crediti a breve termine verso l'Erario </t>
  </si>
  <si>
    <t xml:space="preserve">. Crediti a breve termine verso Soggetti partecipati </t>
  </si>
  <si>
    <t xml:space="preserve">. Crediti a breve termine verso gli Utenti </t>
  </si>
  <si>
    <t xml:space="preserve">. Crediti a breve termine verso altri Soggetti privati </t>
  </si>
  <si>
    <t xml:space="preserve">. Altri crediti con scadenza a breve termine </t>
  </si>
  <si>
    <t xml:space="preserve">( - ) Fondo svalutazione crediti </t>
  </si>
  <si>
    <t xml:space="preserve">. Ratei e risconti attivi </t>
  </si>
  <si>
    <t xml:space="preserve">. Titoli disponibili </t>
  </si>
  <si>
    <t xml:space="preserve">Rimanenze </t>
  </si>
  <si>
    <t xml:space="preserve">. rimanenze di beni socio-sanitari </t>
  </si>
  <si>
    <t xml:space="preserve">. rimanenze di beni tecnico-economali </t>
  </si>
  <si>
    <t xml:space="preserve">. Attività in corso </t>
  </si>
  <si>
    <t xml:space="preserve">. Acconti </t>
  </si>
  <si>
    <t>. …... xxx</t>
  </si>
  <si>
    <t xml:space="preserve">CAPITALE FISSO </t>
  </si>
  <si>
    <t xml:space="preserve">Immobilizzazioni tecniche materiali </t>
  </si>
  <si>
    <t xml:space="preserve">. Terreni e fabbricati del patrimonio indisponibile </t>
  </si>
  <si>
    <t xml:space="preserve">. Impianti e macchinari </t>
  </si>
  <si>
    <t xml:space="preserve">. Attrezzature socio-assistenziali, sanitarie o "istituzionali" </t>
  </si>
  <si>
    <t xml:space="preserve">. Mobili, arredi, macchine per ufficio, pc, </t>
  </si>
  <si>
    <t xml:space="preserve">. Automezzi </t>
  </si>
  <si>
    <t xml:space="preserve">. Altre immobilizzazioni tecniche materiali </t>
  </si>
  <si>
    <t xml:space="preserve">( - ) Fondi ammortamento </t>
  </si>
  <si>
    <t xml:space="preserve">( - ) Fondi svalutazione </t>
  </si>
  <si>
    <t xml:space="preserve">. Immobilizzazioni in corso e acconti </t>
  </si>
  <si>
    <t xml:space="preserve">Immobilizzazioni immateriali </t>
  </si>
  <si>
    <t xml:space="preserve">. Costi di impianto e di ampliamento </t>
  </si>
  <si>
    <t>. Costi di ricerca, di sviluppo e di pubblicità ad utilità pluriennale</t>
  </si>
  <si>
    <t xml:space="preserve">. Software e altri diritti di utilizzazione delle opere d'ingegno </t>
  </si>
  <si>
    <t xml:space="preserve">. Concessioni, licenze, marchi e diritti simili </t>
  </si>
  <si>
    <t xml:space="preserve">. Migliorie su beni di terzi </t>
  </si>
  <si>
    <t>. Altre immobilizzazioni immateriali</t>
  </si>
  <si>
    <t xml:space="preserve">Immobilizzazioni finanziarie e varie </t>
  </si>
  <si>
    <t xml:space="preserve">. Crediti a medio-lungo termine verso soggetti pubblici </t>
  </si>
  <si>
    <t xml:space="preserve">. Crediti a medio-lungo termine verso soggetti privati </t>
  </si>
  <si>
    <t xml:space="preserve">. Partecipazioni strumentali </t>
  </si>
  <si>
    <t xml:space="preserve">. Altri titoli </t>
  </si>
  <si>
    <t xml:space="preserve">. Terreni e Fabbricati del patrimonio disponibile </t>
  </si>
  <si>
    <t xml:space="preserve">. Mobili e arredi di pregio artistico </t>
  </si>
  <si>
    <t xml:space="preserve">TOTALE CAPITALE INVESTITO </t>
  </si>
  <si>
    <t xml:space="preserve">PASSIVITA' – FINANZIAMENTI </t>
  </si>
  <si>
    <t xml:space="preserve">CAPITALE DI TERZI </t>
  </si>
  <si>
    <t xml:space="preserve">Finanziamenti di breve termine </t>
  </si>
  <si>
    <t xml:space="preserve">. Debiti vs Istituto Tesoriere </t>
  </si>
  <si>
    <t xml:space="preserve">. Debiti vs fornitori </t>
  </si>
  <si>
    <t xml:space="preserve">. Debiti a breve termine verso la Regione </t>
  </si>
  <si>
    <t xml:space="preserve">. Debiti a breve termine verso la Provincia </t>
  </si>
  <si>
    <t xml:space="preserve">. Debiti a breve termine verso i Comuni dell'ambito distrettuale </t>
  </si>
  <si>
    <t xml:space="preserve">. Debiti a breve termine verso l'Azienda Sanitaria </t>
  </si>
  <si>
    <t xml:space="preserve">. Debiti a breve termine verso lo Stato ed altri Enti pubblici </t>
  </si>
  <si>
    <t xml:space="preserve">. Debiti a breve termine verso l'Erario </t>
  </si>
  <si>
    <t xml:space="preserve">. Debiti a breve termine verso Soggetti partecipati </t>
  </si>
  <si>
    <t xml:space="preserve">. Debiti a breve termine verso soci per finanziamenti </t>
  </si>
  <si>
    <t>. Debiti a breve termine verso istituti di previdenza e di sicurezza sociale</t>
  </si>
  <si>
    <t xml:space="preserve">. Debiti a breve termine verso personale dipendente </t>
  </si>
  <si>
    <t xml:space="preserve">. Altri debiti a breve termine verso soggetti privati </t>
  </si>
  <si>
    <t xml:space="preserve">. Quota corrente dei mutui passivi </t>
  </si>
  <si>
    <t xml:space="preserve">. Quota corrente di altri debiti a breve termine </t>
  </si>
  <si>
    <t xml:space="preserve">. Fondo imposte (quota di breve termine) </t>
  </si>
  <si>
    <t xml:space="preserve">. Fondi per oneri futuri di breve termine </t>
  </si>
  <si>
    <t xml:space="preserve">. Fondi rischi di breve termine </t>
  </si>
  <si>
    <t xml:space="preserve">. Quota corrente di fondi per oneri futuri a medio-lungo termine </t>
  </si>
  <si>
    <t xml:space="preserve">. Quota corrente di fondi rischi a medio-lungo termine </t>
  </si>
  <si>
    <t xml:space="preserve">. Ratei e risconti passivi </t>
  </si>
  <si>
    <t xml:space="preserve">Finanziamenti di medio-lungo termine </t>
  </si>
  <si>
    <t xml:space="preserve">. Debiti a medio-lungo termine verso fornitori </t>
  </si>
  <si>
    <t xml:space="preserve">. Debiti a medio-lungo termine verso la Regione </t>
  </si>
  <si>
    <t xml:space="preserve">. Debiti a medio-lungo termine verso la Provincia </t>
  </si>
  <si>
    <t>. Debiti a medio- lungo termine verso i Comuni dell'ambito distrettuale</t>
  </si>
  <si>
    <t xml:space="preserve">. Debiti a medio-lungo termine verso l'Azienda Sanitaria </t>
  </si>
  <si>
    <t xml:space="preserve">. Debiti a medio-lungo termine verso lo Stato ed altri Enti pubblici </t>
  </si>
  <si>
    <t xml:space="preserve">. Debiti a medio-lungo termine verso Soggetti partecipati </t>
  </si>
  <si>
    <t xml:space="preserve">. Debiti a medio-lungo termine verso soci per finanziamenti </t>
  </si>
  <si>
    <t xml:space="preserve">. Mutui passivi </t>
  </si>
  <si>
    <t xml:space="preserve">. Altri debiti a medio-lungo termine </t>
  </si>
  <si>
    <t xml:space="preserve">. Fondo imposte </t>
  </si>
  <si>
    <t xml:space="preserve">. Fondi per oneri futuri a medio-lungo termine </t>
  </si>
  <si>
    <t xml:space="preserve">. Fondi rischi a medio-lungo termine </t>
  </si>
  <si>
    <t xml:space="preserve">CAPITALE PROPRIO </t>
  </si>
  <si>
    <t xml:space="preserve">Finanziamenti permanenti </t>
  </si>
  <si>
    <t xml:space="preserve">. Fondo di dotazione </t>
  </si>
  <si>
    <t xml:space="preserve">( - ) crediti per fondo di dotazione </t>
  </si>
  <si>
    <t xml:space="preserve">. Contributi in c/capitale </t>
  </si>
  <si>
    <t xml:space="preserve">( - ) crediti per contributi in c/capitale </t>
  </si>
  <si>
    <t xml:space="preserve">. Donazioni vincolate ad investimenti </t>
  </si>
  <si>
    <t xml:space="preserve">. Donazioni di immobilizzazioni </t>
  </si>
  <si>
    <t xml:space="preserve">. Riserve statutarie </t>
  </si>
  <si>
    <t xml:space="preserve">. Utili di esercizi precedenti </t>
  </si>
  <si>
    <t xml:space="preserve">( - ) Perdite di esercizi precedenti </t>
  </si>
  <si>
    <t xml:space="preserve">. Utile dell'esercizio </t>
  </si>
  <si>
    <t xml:space="preserve">( - ) Perdita dell'esercizio </t>
  </si>
  <si>
    <t xml:space="preserve">TOTALE CAPITALE ACQUISITO </t>
  </si>
  <si>
    <t>=</t>
  </si>
  <si>
    <t>B) Indici di redditività</t>
  </si>
  <si>
    <t>Indice di incidenza della gestione extracaratteristica</t>
  </si>
  <si>
    <t>Risultato netto</t>
  </si>
  <si>
    <t>Risultato Operativo Caratteristico (Roc)</t>
  </si>
  <si>
    <t>Indici di incidenza del costo di fattori produttivi sul Pilc</t>
  </si>
  <si>
    <t xml:space="preserve"> Indice di onerosità finanziaria</t>
  </si>
  <si>
    <t xml:space="preserve">Proventi canoni di locazione da fabbricati (abitativo e commerciale) e terreni*   </t>
  </si>
  <si>
    <t>Valore fabbricati e terreni iscritto a Stato Patrimoniale</t>
  </si>
  <si>
    <t>C) Indici di solidità patrimoniale</t>
  </si>
  <si>
    <t>Indici di copertura delle immobilizzazioni</t>
  </si>
  <si>
    <t>Capitale proprio e finanziamenti di terzi a medio e lungo termine</t>
  </si>
  <si>
    <t>Immobilizzazioni</t>
  </si>
  <si>
    <t>Indici di autocopertura delle immobilizzazioni</t>
  </si>
  <si>
    <t xml:space="preserve">Capitale proprio </t>
  </si>
  <si>
    <t>Capitale fisso (Immobilizzazioni)</t>
  </si>
  <si>
    <t>-Retribuzioni e relativi oneri (ivi inclusa Irap e I costi complessivi per lavoro accessorio e interinale)</t>
  </si>
  <si>
    <t>"-costi per acquisizione di lavori e servizi (ivi inclusa Irap su Collaborazioni e Lavoro autonomo occasionale)</t>
  </si>
  <si>
    <r>
      <t xml:space="preserve">   - IRAP </t>
    </r>
    <r>
      <rPr>
        <sz val="10"/>
        <rFont val="Arial"/>
        <family val="2"/>
      </rPr>
      <t>(ad esclusione di quella determinata col Sistema retributivo già allocata nelle voci precedenti)</t>
    </r>
  </si>
  <si>
    <t xml:space="preserve">( - ) altri crediti per incremento del Patrimonio Netto </t>
  </si>
  <si>
    <t xml:space="preserve">   +/- proventi ed oneri  straordinari</t>
  </si>
  <si>
    <t xml:space="preserve">A) Indici di liquidità </t>
  </si>
  <si>
    <t>Indici di liquidità generale o “Current Ratio”</t>
  </si>
  <si>
    <t>Attività correnti</t>
  </si>
  <si>
    <t>Finanziamenti di terzi a breve termine</t>
  </si>
  <si>
    <t>Indici di liquidità primaria o “Quick Ratio”</t>
  </si>
  <si>
    <t>Liquidità immediate e differite</t>
  </si>
  <si>
    <t>Macchine d'ufficio elettrimeccaniche e d elettroniche</t>
  </si>
  <si>
    <t>Esprimono l'incidenza delle tipologie di fattori produttivi impiegati (beni e servizi) e del costo del lavoro sul P.I.L. (Prodotto Interno Lordo) della gestione caratteristica aziendale. Sono indici già presenti e determinati nelle colonne contenenti i valori percentuali nel conto economico</t>
  </si>
  <si>
    <t>Acquisti totali</t>
  </si>
  <si>
    <t>Debiti medi vs fornitori/acquisti totali  X360</t>
  </si>
  <si>
    <t>X360=</t>
  </si>
  <si>
    <t>Crediti medi da attività istituzionale X360</t>
  </si>
  <si>
    <t xml:space="preserve">Ricavi per attività istituzionale </t>
  </si>
  <si>
    <t>x360=</t>
  </si>
  <si>
    <t>Tempi medi di pagamento dei debiti commerciali</t>
  </si>
  <si>
    <t xml:space="preserve">Tempi medi di incasso dei crediti per ricavi relativi ai servizi istituzionali </t>
  </si>
  <si>
    <t>Stato patrimoniale riclassificato secondo lo schema destinativo-finanziario con valori assoluti e percentuali.</t>
  </si>
  <si>
    <t xml:space="preserve">STATO PATRIMONIALE "DESTINATIVO-FINANZIARIO" </t>
  </si>
  <si>
    <t>. Contributi in c/capitale vincolati ad investimenti</t>
  </si>
  <si>
    <t>Conto economico riclassificato secondo lo schema a Prodotto Interno Lordo (PIL) e Risultato Operativo Caratteristico (ROC) con valori assoluti e percentuali</t>
  </si>
  <si>
    <t>+UTILE/-PERDITA D'ESERCIZIO</t>
  </si>
  <si>
    <t>+Incremento/-decremento Ratei e Risconti passivi</t>
  </si>
  <si>
    <t>FABBISOGNO FINANZIARIO</t>
  </si>
  <si>
    <t>SALDO DI CASSA GENERATOSI NELL'ESERCIZIO</t>
  </si>
  <si>
    <t>Oneri finanziari</t>
  </si>
  <si>
    <t>Capitale di terzi medio</t>
  </si>
  <si>
    <t>Indice di redditività  lorda del patrimonio disponibile</t>
  </si>
  <si>
    <t>Indice di redditività  netta del patrimonio disponibile</t>
  </si>
  <si>
    <t>Al numeratore appare un dato di contabilità analitica e non derivante dalla riclassificazione degli schemi di bilancio: è rappresentato dagli affitti attivi di cui al numeratore dell'indice precedente, al netto dei costi diretti quali: Ires, Imu, manutenzioni ordinarie, ammortamenti (al lordo delle sterilizzazioni)</t>
  </si>
  <si>
    <t>. Fabbricati di pregio artistico del patrimonio disponibile</t>
  </si>
  <si>
    <t>ASP VALLONI MARECCHIA BILANCIO ANNO 2021</t>
  </si>
  <si>
    <t>rendiconto di liquidità/cash flow</t>
  </si>
  <si>
    <t xml:space="preserve">+Ammortamenti </t>
  </si>
  <si>
    <t>+ svalutazioni</t>
  </si>
  <si>
    <t>+ accantonamenti a fondo</t>
  </si>
  <si>
    <t>+Minusvalenze</t>
  </si>
  <si>
    <t xml:space="preserve">-Plusvalenze alienazione </t>
  </si>
  <si>
    <t>-Costi capitalizzati (sterilizzazioni ammortamenti)</t>
  </si>
  <si>
    <t>FLUSSO CASSA POTENZIALE</t>
  </si>
  <si>
    <t>-Incremento/+decremento Crediti (al lordo eventuale svalutazione)</t>
  </si>
  <si>
    <t>-Incremento/+decremento Ratei e Risconti attivi</t>
  </si>
  <si>
    <t>-Incremento/+decremento Rimanenze</t>
  </si>
  <si>
    <t>+Incremento/-decremento Fondi (al lordo accantonamenti)</t>
  </si>
  <si>
    <t>+Incremento/-decremento Debiti (al netto dei mutui)</t>
  </si>
  <si>
    <t>+Incremento/-decremento Fondo di Dotazione/Utile es precedenti</t>
  </si>
  <si>
    <t>-Incremento/+decremento Crediti inerenti il patrimonio netto</t>
  </si>
  <si>
    <t>FLUSSO DI CASSA  NETTO DELL'ESERCIZIO</t>
  </si>
  <si>
    <t>-Decrementi/+incrementi Mutui</t>
  </si>
  <si>
    <t>+Decrementi/-incrementi Immobilizzazioni immateriali</t>
  </si>
  <si>
    <t>+Decrementi/-incrementi Immobilizzazioni materiali (al lordo sterilizzazioni)</t>
  </si>
  <si>
    <t>+Decrementi/-incrementi Immobilizzazioni/attività finanziarie</t>
  </si>
  <si>
    <t>+Incremento/-decremento Trasferimenti in c/capitale dell'esercizio</t>
  </si>
  <si>
    <t xml:space="preserve">Fondo di cassa iniziale </t>
  </si>
  <si>
    <t>SALDO DI CASSA NETTO FINALE</t>
  </si>
  <si>
    <t>Il valore del numeratore è al netto delle relative imposte. Non sono stati considerati  gli affitti degli immobili locati alle Cooperative ai sensi della normativa regionale in materia di accreditamento dei serivi socio sanitari e gli affitti al Comune di Rimini relativi al Fabbricato I Servi in quanto facenti parte del patrimonio indisponibile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</si>
</sst>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72" formatCode="dd/mm/yy"/>
    <numFmt numFmtId="173" formatCode="#,###.00"/>
    <numFmt numFmtId="178" formatCode="&quot;€&quot;\ #,##0.00"/>
  </numFmts>
  <fonts count="26">
    <font>
      <sz val="10"/>
      <name val="Arial"/>
      <family val="2"/>
    </font>
    <font>
      <sz val="10"/>
      <name val="Arial"/>
    </font>
    <font>
      <b/>
      <sz val="10"/>
      <name val="Arial"/>
      <family val="2"/>
    </font>
    <font>
      <i/>
      <sz val="14"/>
      <name val="Times New Roman"/>
      <family val="1"/>
    </font>
    <font>
      <sz val="8"/>
      <name val="Arial"/>
      <family val="2"/>
    </font>
    <font>
      <b/>
      <i/>
      <sz val="11"/>
      <name val="Arial"/>
      <family val="2"/>
    </font>
    <font>
      <sz val="10"/>
      <name val="Arial"/>
      <family val="2"/>
    </font>
    <font>
      <sz val="10"/>
      <color indexed="18"/>
      <name val="Arial"/>
      <family val="2"/>
    </font>
    <font>
      <b/>
      <i/>
      <sz val="12"/>
      <name val="Arial"/>
      <family val="2"/>
    </font>
    <font>
      <sz val="10"/>
      <name val="Arial"/>
      <family val="2"/>
      <charset val="1"/>
    </font>
    <font>
      <sz val="10"/>
      <name val="Times New Roman"/>
      <family val="1"/>
      <charset val="1"/>
    </font>
    <font>
      <sz val="10"/>
      <name val="Arial"/>
      <family val="2"/>
    </font>
    <font>
      <b/>
      <sz val="10"/>
      <name val="Arial"/>
      <family val="2"/>
      <charset val="1"/>
    </font>
    <font>
      <b/>
      <sz val="10"/>
      <name val="Times New Roman"/>
      <family val="1"/>
      <charset val="1"/>
    </font>
    <font>
      <sz val="10"/>
      <name val="Arial"/>
      <family val="2"/>
    </font>
    <font>
      <i/>
      <sz val="10"/>
      <name val="Arial"/>
      <family val="2"/>
      <charset val="1"/>
    </font>
    <font>
      <sz val="10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sz val="8"/>
      <name val="Times New Roman"/>
      <family val="1"/>
      <charset val="1"/>
    </font>
    <font>
      <u/>
      <sz val="8"/>
      <name val="Arial"/>
      <family val="2"/>
    </font>
    <font>
      <i/>
      <sz val="8"/>
      <name val="Times New Roman"/>
      <family val="1"/>
      <charset val="1"/>
    </font>
    <font>
      <sz val="8"/>
      <color indexed="8"/>
      <name val="Arial"/>
      <family val="2"/>
    </font>
    <font>
      <b/>
      <sz val="11"/>
      <name val="Arial"/>
      <family val="2"/>
    </font>
    <font>
      <u/>
      <sz val="8"/>
      <name val="Times New Roman"/>
      <family val="1"/>
      <charset val="1"/>
    </font>
    <font>
      <sz val="8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59999389629810485"/>
        <bgColor indexed="3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2">
    <xf numFmtId="0" fontId="0" fillId="0" borderId="0"/>
    <xf numFmtId="43" fontId="1" fillId="0" borderId="0" applyFill="0" applyBorder="0" applyAlignment="0" applyProtection="0"/>
  </cellStyleXfs>
  <cellXfs count="157">
    <xf numFmtId="0" fontId="0" fillId="0" borderId="0" xfId="0"/>
    <xf numFmtId="3" fontId="0" fillId="0" borderId="0" xfId="0" applyNumberFormat="1"/>
    <xf numFmtId="10" fontId="0" fillId="0" borderId="0" xfId="0" applyNumberFormat="1"/>
    <xf numFmtId="0" fontId="3" fillId="0" borderId="0" xfId="0" applyFont="1"/>
    <xf numFmtId="0" fontId="7" fillId="0" borderId="0" xfId="0" applyFont="1"/>
    <xf numFmtId="0" fontId="0" fillId="0" borderId="0" xfId="0" applyFont="1" applyAlignment="1"/>
    <xf numFmtId="0" fontId="0" fillId="0" borderId="0" xfId="0" applyFont="1" applyFill="1" applyAlignment="1"/>
    <xf numFmtId="0" fontId="0" fillId="2" borderId="1" xfId="0" applyFont="1" applyFill="1" applyBorder="1" applyAlignment="1">
      <alignment wrapText="1"/>
    </xf>
    <xf numFmtId="3" fontId="0" fillId="0" borderId="2" xfId="0" applyNumberFormat="1" applyFont="1" applyBorder="1" applyAlignment="1"/>
    <xf numFmtId="10" fontId="0" fillId="0" borderId="2" xfId="0" applyNumberFormat="1" applyFont="1" applyBorder="1" applyAlignment="1"/>
    <xf numFmtId="0" fontId="0" fillId="2" borderId="3" xfId="0" applyFont="1" applyFill="1" applyBorder="1" applyAlignment="1">
      <alignment wrapText="1"/>
    </xf>
    <xf numFmtId="0" fontId="0" fillId="2" borderId="4" xfId="0" applyFont="1" applyFill="1" applyBorder="1" applyAlignment="1">
      <alignment wrapText="1"/>
    </xf>
    <xf numFmtId="3" fontId="0" fillId="0" borderId="5" xfId="0" applyNumberFormat="1" applyFont="1" applyBorder="1" applyAlignment="1"/>
    <xf numFmtId="10" fontId="0" fillId="0" borderId="5" xfId="0" applyNumberFormat="1" applyFont="1" applyBorder="1" applyAlignment="1"/>
    <xf numFmtId="3" fontId="0" fillId="0" borderId="6" xfId="0" applyNumberFormat="1" applyFont="1" applyBorder="1" applyAlignment="1"/>
    <xf numFmtId="0" fontId="0" fillId="0" borderId="0" xfId="0" applyFont="1" applyFill="1" applyBorder="1" applyAlignment="1">
      <alignment wrapText="1"/>
    </xf>
    <xf numFmtId="0" fontId="0" fillId="2" borderId="0" xfId="0" applyFont="1" applyFill="1" applyBorder="1" applyAlignment="1">
      <alignment wrapText="1"/>
    </xf>
    <xf numFmtId="0" fontId="0" fillId="0" borderId="0" xfId="0" applyFont="1" applyBorder="1" applyAlignment="1"/>
    <xf numFmtId="0" fontId="0" fillId="2" borderId="1" xfId="0" quotePrefix="1" applyFont="1" applyFill="1" applyBorder="1" applyAlignment="1">
      <alignment wrapText="1"/>
    </xf>
    <xf numFmtId="49" fontId="0" fillId="2" borderId="3" xfId="0" applyNumberFormat="1" applyFont="1" applyFill="1" applyBorder="1" applyAlignment="1">
      <alignment wrapText="1"/>
    </xf>
    <xf numFmtId="3" fontId="0" fillId="0" borderId="0" xfId="0" applyNumberFormat="1" applyFont="1" applyAlignment="1"/>
    <xf numFmtId="10" fontId="0" fillId="0" borderId="0" xfId="0" applyNumberFormat="1" applyFont="1" applyAlignment="1"/>
    <xf numFmtId="0" fontId="2" fillId="2" borderId="1" xfId="0" applyFont="1" applyFill="1" applyBorder="1" applyAlignment="1">
      <alignment wrapText="1"/>
    </xf>
    <xf numFmtId="3" fontId="2" fillId="0" borderId="2" xfId="0" applyNumberFormat="1" applyFont="1" applyBorder="1" applyAlignment="1"/>
    <xf numFmtId="10" fontId="2" fillId="0" borderId="2" xfId="0" applyNumberFormat="1" applyFont="1" applyBorder="1" applyAlignment="1"/>
    <xf numFmtId="0" fontId="8" fillId="0" borderId="0" xfId="0" applyFont="1" applyBorder="1" applyAlignment="1">
      <alignment vertical="center" wrapText="1"/>
    </xf>
    <xf numFmtId="0" fontId="12" fillId="2" borderId="2" xfId="0" applyFont="1" applyFill="1" applyBorder="1" applyAlignment="1">
      <alignment wrapText="1"/>
    </xf>
    <xf numFmtId="3" fontId="10" fillId="0" borderId="2" xfId="0" applyNumberFormat="1" applyFont="1" applyBorder="1"/>
    <xf numFmtId="0" fontId="11" fillId="0" borderId="0" xfId="0" applyFont="1"/>
    <xf numFmtId="3" fontId="13" fillId="0" borderId="2" xfId="0" applyNumberFormat="1" applyFont="1" applyBorder="1"/>
    <xf numFmtId="10" fontId="13" fillId="0" borderId="2" xfId="0" applyNumberFormat="1" applyFont="1" applyBorder="1"/>
    <xf numFmtId="0" fontId="14" fillId="0" borderId="0" xfId="0" applyFont="1"/>
    <xf numFmtId="10" fontId="10" fillId="0" borderId="2" xfId="0" applyNumberFormat="1" applyFont="1" applyBorder="1"/>
    <xf numFmtId="0" fontId="11" fillId="0" borderId="0" xfId="0" applyFont="1" applyFill="1"/>
    <xf numFmtId="0" fontId="1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19" fillId="0" borderId="0" xfId="0" applyFont="1" applyBorder="1" applyAlignment="1">
      <alignment horizontal="left" wrapText="1"/>
    </xf>
    <xf numFmtId="38" fontId="4" fillId="0" borderId="0" xfId="0" applyNumberFormat="1" applyFont="1" applyFill="1" applyBorder="1" applyAlignment="1">
      <alignment horizontal="left"/>
    </xf>
    <xf numFmtId="38" fontId="4" fillId="0" borderId="0" xfId="0" applyNumberFormat="1" applyFont="1" applyBorder="1" applyAlignment="1">
      <alignment horizontal="left"/>
    </xf>
    <xf numFmtId="0" fontId="4" fillId="0" borderId="0" xfId="0" applyFont="1" applyFill="1" applyAlignment="1">
      <alignment horizontal="left"/>
    </xf>
    <xf numFmtId="172" fontId="4" fillId="0" borderId="0" xfId="0" applyNumberFormat="1" applyFont="1" applyFill="1" applyAlignment="1">
      <alignment horizontal="left"/>
    </xf>
    <xf numFmtId="173" fontId="4" fillId="0" borderId="0" xfId="0" applyNumberFormat="1" applyFont="1" applyFill="1" applyAlignment="1">
      <alignment horizontal="left"/>
    </xf>
    <xf numFmtId="0" fontId="4" fillId="0" borderId="7" xfId="0" applyFont="1" applyBorder="1" applyAlignment="1">
      <alignment horizontal="left" wrapText="1"/>
    </xf>
    <xf numFmtId="38" fontId="4" fillId="0" borderId="7" xfId="0" quotePrefix="1" applyNumberFormat="1" applyFont="1" applyFill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10" fontId="4" fillId="0" borderId="0" xfId="0" applyNumberFormat="1" applyFont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4" fillId="0" borderId="7" xfId="0" applyFont="1" applyBorder="1" applyAlignment="1">
      <alignment horizontal="left"/>
    </xf>
    <xf numFmtId="38" fontId="4" fillId="0" borderId="7" xfId="0" applyNumberFormat="1" applyFont="1" applyFill="1" applyBorder="1" applyAlignment="1">
      <alignment horizontal="left"/>
    </xf>
    <xf numFmtId="3" fontId="4" fillId="0" borderId="0" xfId="0" applyNumberFormat="1" applyFont="1" applyAlignment="1">
      <alignment horizontal="left"/>
    </xf>
    <xf numFmtId="3" fontId="4" fillId="0" borderId="7" xfId="0" applyNumberFormat="1" applyFont="1" applyBorder="1" applyAlignment="1">
      <alignment horizontal="left"/>
    </xf>
    <xf numFmtId="4" fontId="4" fillId="0" borderId="0" xfId="0" applyNumberFormat="1" applyFont="1" applyBorder="1" applyAlignment="1">
      <alignment horizontal="left" vertical="center"/>
    </xf>
    <xf numFmtId="3" fontId="4" fillId="0" borderId="0" xfId="0" applyNumberFormat="1" applyFont="1" applyBorder="1" applyAlignment="1">
      <alignment horizontal="left"/>
    </xf>
    <xf numFmtId="10" fontId="18" fillId="0" borderId="0" xfId="0" applyNumberFormat="1" applyFont="1" applyAlignment="1">
      <alignment horizontal="left"/>
    </xf>
    <xf numFmtId="0" fontId="4" fillId="0" borderId="7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21" fillId="0" borderId="0" xfId="0" applyFont="1" applyBorder="1" applyAlignment="1">
      <alignment horizontal="left" wrapText="1"/>
    </xf>
    <xf numFmtId="10" fontId="4" fillId="0" borderId="0" xfId="0" applyNumberFormat="1" applyFont="1" applyAlignment="1">
      <alignment horizontal="left"/>
    </xf>
    <xf numFmtId="0" fontId="18" fillId="0" borderId="0" xfId="0" applyFont="1" applyBorder="1" applyAlignment="1">
      <alignment horizontal="left" wrapText="1"/>
    </xf>
    <xf numFmtId="3" fontId="4" fillId="0" borderId="0" xfId="0" applyNumberFormat="1" applyFont="1" applyBorder="1" applyAlignment="1">
      <alignment horizontal="left" wrapText="1"/>
    </xf>
    <xf numFmtId="10" fontId="4" fillId="0" borderId="0" xfId="0" applyNumberFormat="1" applyFont="1" applyBorder="1" applyAlignment="1">
      <alignment horizontal="left"/>
    </xf>
    <xf numFmtId="3" fontId="0" fillId="0" borderId="2" xfId="0" applyNumberFormat="1" applyFont="1" applyFill="1" applyBorder="1" applyAlignment="1"/>
    <xf numFmtId="3" fontId="0" fillId="0" borderId="5" xfId="0" applyNumberFormat="1" applyFont="1" applyFill="1" applyBorder="1" applyAlignment="1"/>
    <xf numFmtId="3" fontId="0" fillId="0" borderId="0" xfId="0" applyNumberFormat="1" applyFont="1" applyFill="1" applyAlignment="1"/>
    <xf numFmtId="0" fontId="12" fillId="2" borderId="1" xfId="0" applyFont="1" applyFill="1" applyBorder="1" applyAlignment="1">
      <alignment wrapText="1"/>
    </xf>
    <xf numFmtId="0" fontId="1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3" fontId="13" fillId="0" borderId="8" xfId="0" applyNumberFormat="1" applyFont="1" applyBorder="1"/>
    <xf numFmtId="3" fontId="10" fillId="0" borderId="8" xfId="0" applyNumberFormat="1" applyFont="1" applyBorder="1"/>
    <xf numFmtId="3" fontId="10" fillId="0" borderId="9" xfId="0" applyNumberFormat="1" applyFont="1" applyBorder="1"/>
    <xf numFmtId="3" fontId="11" fillId="0" borderId="9" xfId="0" applyNumberFormat="1" applyFont="1" applyBorder="1"/>
    <xf numFmtId="3" fontId="16" fillId="0" borderId="9" xfId="0" applyNumberFormat="1" applyFont="1" applyBorder="1"/>
    <xf numFmtId="3" fontId="14" fillId="0" borderId="9" xfId="0" applyNumberFormat="1" applyFont="1" applyBorder="1"/>
    <xf numFmtId="3" fontId="10" fillId="0" borderId="5" xfId="0" applyNumberFormat="1" applyFont="1" applyBorder="1"/>
    <xf numFmtId="0" fontId="14" fillId="0" borderId="9" xfId="0" applyFont="1" applyBorder="1"/>
    <xf numFmtId="3" fontId="11" fillId="0" borderId="9" xfId="0" applyNumberFormat="1" applyFont="1" applyFill="1" applyBorder="1"/>
    <xf numFmtId="2" fontId="4" fillId="0" borderId="0" xfId="0" applyNumberFormat="1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wrapText="1"/>
    </xf>
    <xf numFmtId="10" fontId="4" fillId="0" borderId="0" xfId="0" applyNumberFormat="1" applyFont="1" applyFill="1" applyBorder="1" applyAlignment="1">
      <alignment horizontal="left" vertical="center"/>
    </xf>
    <xf numFmtId="0" fontId="17" fillId="0" borderId="0" xfId="0" applyFont="1" applyBorder="1" applyAlignment="1">
      <alignment horizontal="left" wrapText="1"/>
    </xf>
    <xf numFmtId="0" fontId="19" fillId="0" borderId="10" xfId="0" applyFont="1" applyFill="1" applyBorder="1" applyAlignment="1">
      <alignment horizontal="left" wrapText="1"/>
    </xf>
    <xf numFmtId="38" fontId="4" fillId="0" borderId="10" xfId="0" applyNumberFormat="1" applyFont="1" applyFill="1" applyBorder="1" applyAlignment="1">
      <alignment horizontal="left"/>
    </xf>
    <xf numFmtId="4" fontId="4" fillId="0" borderId="0" xfId="0" applyNumberFormat="1" applyFont="1" applyFill="1" applyBorder="1" applyAlignment="1">
      <alignment horizontal="left" vertical="center"/>
    </xf>
    <xf numFmtId="3" fontId="4" fillId="0" borderId="7" xfId="0" applyNumberFormat="1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left"/>
    </xf>
    <xf numFmtId="3" fontId="14" fillId="0" borderId="0" xfId="0" applyNumberFormat="1" applyFont="1"/>
    <xf numFmtId="3" fontId="11" fillId="0" borderId="0" xfId="0" applyNumberFormat="1" applyFont="1"/>
    <xf numFmtId="0" fontId="0" fillId="7" borderId="2" xfId="0" applyFont="1" applyFill="1" applyBorder="1" applyAlignment="1">
      <alignment wrapText="1"/>
    </xf>
    <xf numFmtId="0" fontId="0" fillId="7" borderId="2" xfId="0" applyFont="1" applyFill="1" applyBorder="1" applyAlignment="1">
      <alignment horizontal="center"/>
    </xf>
    <xf numFmtId="0" fontId="9" fillId="7" borderId="2" xfId="0" applyFont="1" applyFill="1" applyBorder="1" applyAlignment="1">
      <alignment wrapText="1"/>
    </xf>
    <xf numFmtId="3" fontId="10" fillId="7" borderId="2" xfId="0" applyNumberFormat="1" applyFont="1" applyFill="1" applyBorder="1" applyAlignment="1">
      <alignment horizontal="center"/>
    </xf>
    <xf numFmtId="0" fontId="11" fillId="8" borderId="0" xfId="0" applyFont="1" applyFill="1"/>
    <xf numFmtId="3" fontId="10" fillId="0" borderId="8" xfId="0" applyNumberFormat="1" applyFont="1" applyFill="1" applyBorder="1"/>
    <xf numFmtId="3" fontId="13" fillId="9" borderId="2" xfId="0" applyNumberFormat="1" applyFont="1" applyFill="1" applyBorder="1"/>
    <xf numFmtId="10" fontId="10" fillId="0" borderId="2" xfId="0" applyNumberFormat="1" applyFont="1" applyFill="1" applyBorder="1"/>
    <xf numFmtId="0" fontId="17" fillId="0" borderId="0" xfId="0" applyFont="1" applyFill="1" applyAlignment="1">
      <alignment horizontal="left"/>
    </xf>
    <xf numFmtId="10" fontId="18" fillId="0" borderId="0" xfId="0" applyNumberFormat="1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 wrapText="1"/>
    </xf>
    <xf numFmtId="0" fontId="17" fillId="0" borderId="0" xfId="0" applyFont="1" applyFill="1" applyBorder="1" applyAlignment="1">
      <alignment horizontal="left" wrapText="1"/>
    </xf>
    <xf numFmtId="0" fontId="24" fillId="0" borderId="10" xfId="0" applyFont="1" applyFill="1" applyBorder="1" applyAlignment="1">
      <alignment horizontal="left" wrapText="1"/>
    </xf>
    <xf numFmtId="3" fontId="16" fillId="0" borderId="9" xfId="0" applyNumberFormat="1" applyFont="1" applyFill="1" applyBorder="1"/>
    <xf numFmtId="3" fontId="14" fillId="0" borderId="9" xfId="0" applyNumberFormat="1" applyFont="1" applyFill="1" applyBorder="1"/>
    <xf numFmtId="3" fontId="0" fillId="0" borderId="9" xfId="0" applyNumberFormat="1" applyFont="1" applyFill="1" applyBorder="1"/>
    <xf numFmtId="38" fontId="20" fillId="0" borderId="10" xfId="0" applyNumberFormat="1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6" fillId="0" borderId="0" xfId="0" applyFont="1" applyBorder="1"/>
    <xf numFmtId="3" fontId="4" fillId="0" borderId="0" xfId="1" applyNumberFormat="1" applyFont="1"/>
    <xf numFmtId="0" fontId="2" fillId="4" borderId="11" xfId="0" quotePrefix="1" applyFont="1" applyFill="1" applyBorder="1"/>
    <xf numFmtId="3" fontId="18" fillId="4" borderId="9" xfId="1" applyNumberFormat="1" applyFont="1" applyFill="1" applyBorder="1"/>
    <xf numFmtId="0" fontId="0" fillId="0" borderId="0" xfId="0" quotePrefix="1" applyFill="1"/>
    <xf numFmtId="49" fontId="0" fillId="0" borderId="0" xfId="0" quotePrefix="1" applyNumberFormat="1" applyFill="1"/>
    <xf numFmtId="0" fontId="6" fillId="0" borderId="0" xfId="0" quotePrefix="1" applyFont="1" applyFill="1"/>
    <xf numFmtId="0" fontId="2" fillId="3" borderId="11" xfId="0" applyFont="1" applyFill="1" applyBorder="1"/>
    <xf numFmtId="3" fontId="18" fillId="3" borderId="12" xfId="1" applyNumberFormat="1" applyFont="1" applyFill="1" applyBorder="1"/>
    <xf numFmtId="3" fontId="4" fillId="0" borderId="0" xfId="1" applyNumberFormat="1" applyFont="1" applyFill="1"/>
    <xf numFmtId="0" fontId="2" fillId="5" borderId="11" xfId="0" applyFont="1" applyFill="1" applyBorder="1"/>
    <xf numFmtId="3" fontId="18" fillId="5" borderId="12" xfId="1" applyNumberFormat="1" applyFont="1" applyFill="1" applyBorder="1"/>
    <xf numFmtId="0" fontId="2" fillId="0" borderId="11" xfId="0" applyFont="1" applyFill="1" applyBorder="1"/>
    <xf numFmtId="3" fontId="18" fillId="0" borderId="12" xfId="1" applyNumberFormat="1" applyFont="1" applyFill="1" applyBorder="1"/>
    <xf numFmtId="3" fontId="4" fillId="0" borderId="0" xfId="1" applyNumberFormat="1" applyFont="1" applyFill="1" applyAlignment="1">
      <alignment horizontal="right" wrapText="1"/>
    </xf>
    <xf numFmtId="3" fontId="18" fillId="0" borderId="9" xfId="1" applyNumberFormat="1" applyFont="1" applyFill="1" applyBorder="1"/>
    <xf numFmtId="0" fontId="0" fillId="0" borderId="0" xfId="0" applyFill="1"/>
    <xf numFmtId="0" fontId="2" fillId="6" borderId="11" xfId="0" applyFont="1" applyFill="1" applyBorder="1"/>
    <xf numFmtId="3" fontId="18" fillId="6" borderId="9" xfId="1" applyNumberFormat="1" applyFont="1" applyFill="1" applyBorder="1"/>
    <xf numFmtId="0" fontId="18" fillId="0" borderId="0" xfId="0" applyFont="1" applyFill="1" applyBorder="1" applyAlignment="1">
      <alignment horizontal="left"/>
    </xf>
    <xf numFmtId="178" fontId="18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 wrapText="1"/>
    </xf>
    <xf numFmtId="178" fontId="4" fillId="0" borderId="0" xfId="0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left" wrapText="1"/>
    </xf>
    <xf numFmtId="4" fontId="4" fillId="0" borderId="0" xfId="0" applyNumberFormat="1" applyFont="1" applyFill="1" applyBorder="1" applyAlignment="1">
      <alignment horizontal="right"/>
    </xf>
    <xf numFmtId="43" fontId="18" fillId="0" borderId="0" xfId="1" applyFont="1" applyFill="1" applyBorder="1" applyAlignment="1">
      <alignment horizontal="left"/>
    </xf>
    <xf numFmtId="0" fontId="25" fillId="0" borderId="0" xfId="0" applyFont="1" applyFill="1" applyBorder="1" applyAlignment="1">
      <alignment horizontal="left" wrapText="1"/>
    </xf>
    <xf numFmtId="4" fontId="25" fillId="0" borderId="0" xfId="0" applyNumberFormat="1" applyFont="1" applyFill="1" applyBorder="1" applyAlignment="1">
      <alignment horizontal="right"/>
    </xf>
    <xf numFmtId="4" fontId="18" fillId="0" borderId="0" xfId="0" applyNumberFormat="1" applyFont="1" applyFill="1" applyBorder="1" applyAlignment="1">
      <alignment horizontal="left"/>
    </xf>
    <xf numFmtId="4" fontId="4" fillId="0" borderId="0" xfId="0" applyNumberFormat="1" applyFont="1" applyFill="1" applyBorder="1" applyAlignment="1">
      <alignment horizontal="left"/>
    </xf>
    <xf numFmtId="49" fontId="0" fillId="0" borderId="7" xfId="0" applyNumberFormat="1" applyBorder="1" applyAlignment="1">
      <alignment horizontal="center" vertical="center" wrapText="1"/>
    </xf>
    <xf numFmtId="49" fontId="0" fillId="0" borderId="7" xfId="0" applyNumberFormat="1" applyFont="1" applyBorder="1" applyAlignment="1">
      <alignment horizontal="center" vertical="center" wrapText="1"/>
    </xf>
    <xf numFmtId="0" fontId="0" fillId="7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3" fontId="10" fillId="7" borderId="13" xfId="0" applyNumberFormat="1" applyFont="1" applyFill="1" applyBorder="1" applyAlignment="1">
      <alignment horizontal="center"/>
    </xf>
    <xf numFmtId="3" fontId="10" fillId="7" borderId="2" xfId="0" applyNumberFormat="1" applyFont="1" applyFill="1" applyBorder="1" applyAlignment="1">
      <alignment horizontal="center"/>
    </xf>
    <xf numFmtId="0" fontId="23" fillId="0" borderId="7" xfId="0" applyFont="1" applyBorder="1" applyAlignment="1">
      <alignment horizontal="center" vertical="center" wrapText="1"/>
    </xf>
    <xf numFmtId="3" fontId="10" fillId="7" borderId="5" xfId="0" applyNumberFormat="1" applyFont="1" applyFill="1" applyBorder="1" applyAlignment="1">
      <alignment horizontal="center"/>
    </xf>
    <xf numFmtId="10" fontId="10" fillId="7" borderId="2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Border="1" applyAlignment="1">
      <alignment horizontal="left" vertical="center"/>
    </xf>
    <xf numFmtId="2" fontId="4" fillId="0" borderId="0" xfId="0" applyNumberFormat="1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" fontId="4" fillId="0" borderId="0" xfId="0" applyNumberFormat="1" applyFont="1" applyBorder="1" applyAlignment="1">
      <alignment horizontal="left" vertical="center"/>
    </xf>
    <xf numFmtId="0" fontId="22" fillId="0" borderId="0" xfId="0" applyFont="1" applyBorder="1" applyAlignment="1">
      <alignment horizontal="left" wrapText="1"/>
    </xf>
    <xf numFmtId="0" fontId="18" fillId="0" borderId="9" xfId="1" applyNumberFormat="1" applyFont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E0021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420E"/>
      <rgbColor rgb="00666699"/>
      <rgbColor rgb="00969696"/>
      <rgbColor rgb="00004586"/>
      <rgbColor rgb="00579D1C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ndiconto%20finanziario%202021/Rendiconto%20finanziario%202021%20Enric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P_ATTIVO"/>
      <sheetName val="SP_PASSIVO"/>
      <sheetName val="CONT_ECONOMICO"/>
      <sheetName val="Prev_Cons_2017"/>
      <sheetName val="CCC_INVEST"/>
      <sheetName val="rendiconto"/>
    </sheetNames>
    <sheetDataSet>
      <sheetData sheetId="0">
        <row r="7">
          <cell r="D7">
            <v>66678</v>
          </cell>
        </row>
        <row r="30">
          <cell r="D30">
            <v>1354859.9900000095</v>
          </cell>
        </row>
        <row r="43">
          <cell r="D43">
            <v>13882.690000000002</v>
          </cell>
        </row>
        <row r="78">
          <cell r="D78">
            <v>52835.160000002012</v>
          </cell>
        </row>
        <row r="90">
          <cell r="C90">
            <v>296231</v>
          </cell>
        </row>
        <row r="95">
          <cell r="D95">
            <v>-22154.83</v>
          </cell>
        </row>
      </sheetData>
      <sheetData sheetId="1">
        <row r="14">
          <cell r="D14">
            <v>1273552.5300000012</v>
          </cell>
        </row>
        <row r="19">
          <cell r="D19">
            <v>-47339.200000000012</v>
          </cell>
        </row>
        <row r="26">
          <cell r="D26">
            <v>-119108.12000000011</v>
          </cell>
        </row>
        <row r="72">
          <cell r="D72">
            <v>50708.529999997467</v>
          </cell>
        </row>
        <row r="76">
          <cell r="D76">
            <v>86535.3</v>
          </cell>
        </row>
      </sheetData>
      <sheetData sheetId="2">
        <row r="14">
          <cell r="B14">
            <v>1463164.25</v>
          </cell>
        </row>
        <row r="63">
          <cell r="B63">
            <v>4609.3500000000004</v>
          </cell>
        </row>
        <row r="64">
          <cell r="B64">
            <v>1465246.59</v>
          </cell>
        </row>
        <row r="66">
          <cell r="B66">
            <v>35938.92</v>
          </cell>
        </row>
        <row r="75">
          <cell r="B75">
            <v>196687.97</v>
          </cell>
        </row>
        <row r="127">
          <cell r="B127">
            <v>37947.090000000084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G96"/>
  <sheetViews>
    <sheetView tabSelected="1" zoomScaleNormal="100" workbookViewId="0">
      <selection activeCell="H14" sqref="H14"/>
    </sheetView>
  </sheetViews>
  <sheetFormatPr defaultColWidth="11.5703125" defaultRowHeight="12.75"/>
  <cols>
    <col min="1" max="1" width="57" style="5" customWidth="1"/>
    <col min="2" max="2" width="10.5703125" style="5" customWidth="1"/>
    <col min="3" max="3" width="11" style="5" customWidth="1"/>
    <col min="4" max="4" width="11.5703125" style="5" customWidth="1"/>
    <col min="5" max="5" width="9.42578125" style="5" customWidth="1"/>
    <col min="6" max="6" width="9" style="5" customWidth="1"/>
    <col min="7" max="16384" width="11.5703125" style="5"/>
  </cols>
  <sheetData>
    <row r="1" spans="1:33">
      <c r="A1" s="142" t="s">
        <v>185</v>
      </c>
      <c r="B1" s="142"/>
      <c r="C1" s="142"/>
      <c r="D1" s="142"/>
      <c r="E1" s="142"/>
      <c r="F1" s="142"/>
    </row>
    <row r="3" spans="1:33" ht="32.25" customHeight="1">
      <c r="A3" s="139" t="s">
        <v>174</v>
      </c>
      <c r="B3" s="140"/>
      <c r="C3" s="140"/>
      <c r="D3" s="140"/>
      <c r="E3" s="140"/>
      <c r="F3" s="140"/>
    </row>
    <row r="4" spans="1:33" s="6" customFormat="1">
      <c r="A4" s="90" t="s">
        <v>0</v>
      </c>
      <c r="B4" s="141" t="s">
        <v>1</v>
      </c>
      <c r="C4" s="141"/>
      <c r="D4" s="91" t="s">
        <v>2</v>
      </c>
      <c r="E4" s="141"/>
      <c r="F4" s="141"/>
    </row>
    <row r="5" spans="1:33">
      <c r="A5" s="7" t="s">
        <v>4</v>
      </c>
      <c r="B5" s="63"/>
      <c r="C5" s="63">
        <v>4716080</v>
      </c>
      <c r="D5" s="8"/>
      <c r="E5" s="9">
        <f t="shared" ref="E5:E11" si="0">C5/$D$11</f>
        <v>0.69706257257250159</v>
      </c>
      <c r="F5" s="9"/>
    </row>
    <row r="6" spans="1:33">
      <c r="A6" s="7" t="s">
        <v>5</v>
      </c>
      <c r="B6" s="63"/>
      <c r="C6" s="63">
        <v>692719</v>
      </c>
      <c r="D6" s="8"/>
      <c r="E6" s="9">
        <f t="shared" si="0"/>
        <v>0.10238767964280732</v>
      </c>
      <c r="F6" s="9"/>
    </row>
    <row r="7" spans="1:33">
      <c r="A7" s="7" t="s">
        <v>6</v>
      </c>
      <c r="B7" s="63"/>
      <c r="C7" s="65">
        <f>5613+18157+458318</f>
        <v>482088</v>
      </c>
      <c r="D7" s="8"/>
      <c r="E7" s="9">
        <f t="shared" si="0"/>
        <v>7.1255258919766445E-2</v>
      </c>
      <c r="F7" s="9"/>
    </row>
    <row r="8" spans="1:33">
      <c r="A8" s="7" t="s">
        <v>7</v>
      </c>
      <c r="B8" s="63"/>
      <c r="C8" s="63">
        <f>23819+805031+45910</f>
        <v>874760</v>
      </c>
      <c r="D8" s="8"/>
      <c r="E8" s="9">
        <f t="shared" si="0"/>
        <v>0.12929434105942253</v>
      </c>
      <c r="F8" s="9"/>
    </row>
    <row r="9" spans="1:33">
      <c r="A9" s="10" t="s">
        <v>8</v>
      </c>
      <c r="B9" s="63"/>
      <c r="C9" s="63"/>
      <c r="D9" s="8"/>
      <c r="E9" s="9">
        <f t="shared" si="0"/>
        <v>0</v>
      </c>
      <c r="F9" s="9"/>
    </row>
    <row r="10" spans="1:33" ht="25.5">
      <c r="A10" s="7" t="s">
        <v>9</v>
      </c>
      <c r="B10" s="63"/>
      <c r="C10" s="63"/>
      <c r="D10" s="8"/>
      <c r="E10" s="9">
        <f t="shared" si="0"/>
        <v>0</v>
      </c>
      <c r="F10" s="9"/>
    </row>
    <row r="11" spans="1:33">
      <c r="A11" s="7" t="s">
        <v>10</v>
      </c>
      <c r="B11" s="63"/>
      <c r="C11" s="63"/>
      <c r="D11" s="23">
        <f>SUM(C5:C10)+1</f>
        <v>6765648</v>
      </c>
      <c r="E11" s="9">
        <f t="shared" si="0"/>
        <v>0</v>
      </c>
      <c r="F11" s="9">
        <v>1</v>
      </c>
    </row>
    <row r="12" spans="1:33">
      <c r="A12" s="7" t="s">
        <v>11</v>
      </c>
      <c r="B12" s="63"/>
      <c r="C12" s="63">
        <v>224696</v>
      </c>
      <c r="D12" s="8"/>
      <c r="E12" s="9">
        <f>C12/$D$11</f>
        <v>3.321130511075953E-2</v>
      </c>
      <c r="F12" s="9"/>
    </row>
    <row r="13" spans="1:33">
      <c r="A13" s="11" t="s">
        <v>12</v>
      </c>
      <c r="B13" s="64">
        <v>-13883</v>
      </c>
      <c r="C13" s="64"/>
      <c r="D13" s="12"/>
      <c r="E13" s="13">
        <f>C13/$D$11</f>
        <v>0</v>
      </c>
      <c r="F13" s="13"/>
    </row>
    <row r="14" spans="1:33" s="16" customFormat="1" ht="25.5">
      <c r="A14" s="11" t="s">
        <v>151</v>
      </c>
      <c r="B14" s="64"/>
      <c r="C14" s="64">
        <f>3819100+3922-1336033</f>
        <v>2486989</v>
      </c>
      <c r="D14" s="12"/>
      <c r="E14" s="13">
        <f>C14/$D$11</f>
        <v>0.36759065798279783</v>
      </c>
      <c r="F14" s="12"/>
      <c r="G14" s="14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>
      <c r="A15" s="10" t="s">
        <v>13</v>
      </c>
      <c r="B15" s="63"/>
      <c r="C15" s="63">
        <f>B16-B17</f>
        <v>6692</v>
      </c>
      <c r="D15" s="8"/>
      <c r="E15" s="9">
        <f>C15/$D$11</f>
        <v>9.8911442037776724E-4</v>
      </c>
      <c r="F15" s="9"/>
      <c r="I15" s="17"/>
    </row>
    <row r="16" spans="1:33">
      <c r="A16" s="7" t="s">
        <v>14</v>
      </c>
      <c r="B16" s="63">
        <f>4609+1465247</f>
        <v>1469856</v>
      </c>
      <c r="C16" s="63"/>
      <c r="D16" s="8"/>
      <c r="E16" s="9"/>
      <c r="F16" s="9"/>
    </row>
    <row r="17" spans="1:6">
      <c r="A17" s="7" t="s">
        <v>15</v>
      </c>
      <c r="B17" s="63">
        <v>1463164</v>
      </c>
      <c r="C17" s="63"/>
      <c r="D17" s="8"/>
      <c r="E17" s="9"/>
      <c r="F17" s="9"/>
    </row>
    <row r="18" spans="1:6">
      <c r="A18" s="7" t="s">
        <v>16</v>
      </c>
      <c r="B18" s="63"/>
      <c r="C18" s="63">
        <f>196688+35939+1000</f>
        <v>233627</v>
      </c>
      <c r="D18" s="8"/>
      <c r="E18" s="9">
        <f>C18/$D$11</f>
        <v>3.4531356050447791E-2</v>
      </c>
      <c r="F18" s="9"/>
    </row>
    <row r="19" spans="1:6" ht="25.5">
      <c r="A19" s="18" t="s">
        <v>150</v>
      </c>
      <c r="B19" s="63"/>
      <c r="C19" s="65">
        <f>2241693+1336033+103048+78615</f>
        <v>3759389</v>
      </c>
      <c r="D19" s="8"/>
      <c r="E19" s="9">
        <f>C19/$D$11</f>
        <v>0.55565837891655023</v>
      </c>
      <c r="F19" s="9"/>
    </row>
    <row r="20" spans="1:6">
      <c r="A20" s="7" t="s">
        <v>17</v>
      </c>
      <c r="B20" s="63"/>
      <c r="C20" s="63"/>
      <c r="D20" s="23">
        <f>D11-SUM(C12:C19)+B13</f>
        <v>40372</v>
      </c>
      <c r="E20" s="9"/>
      <c r="F20" s="9">
        <f>D20/$D$11</f>
        <v>5.9672037327392737E-3</v>
      </c>
    </row>
    <row r="21" spans="1:6">
      <c r="A21" s="7" t="s">
        <v>18</v>
      </c>
      <c r="B21" s="63"/>
      <c r="C21" s="63">
        <f>SUM(B22:B23)</f>
        <v>285158</v>
      </c>
      <c r="D21" s="8"/>
      <c r="E21" s="9">
        <f>C21/$D$11</f>
        <v>4.2147921381662186E-2</v>
      </c>
      <c r="F21" s="9"/>
    </row>
    <row r="22" spans="1:6">
      <c r="A22" s="7" t="s">
        <v>19</v>
      </c>
      <c r="B22" s="63">
        <v>234636</v>
      </c>
      <c r="C22" s="63"/>
      <c r="D22" s="8"/>
      <c r="E22" s="9"/>
      <c r="F22" s="9"/>
    </row>
    <row r="23" spans="1:6" ht="25.5">
      <c r="A23" s="7" t="s">
        <v>20</v>
      </c>
      <c r="B23" s="63">
        <v>50522</v>
      </c>
      <c r="C23" s="63"/>
      <c r="D23" s="8"/>
      <c r="E23" s="9"/>
      <c r="F23" s="9"/>
    </row>
    <row r="24" spans="1:6">
      <c r="A24" s="7" t="s">
        <v>21</v>
      </c>
      <c r="B24" s="63"/>
      <c r="C24" s="63">
        <f>-SUM(B25:B26)</f>
        <v>-450765</v>
      </c>
      <c r="D24" s="8"/>
      <c r="E24" s="9">
        <f>C24/$D$11</f>
        <v>-6.6625547175968955E-2</v>
      </c>
      <c r="F24" s="9"/>
    </row>
    <row r="25" spans="1:6">
      <c r="A25" s="7" t="s">
        <v>22</v>
      </c>
      <c r="B25" s="63">
        <v>243120</v>
      </c>
      <c r="C25" s="63"/>
      <c r="D25" s="8"/>
      <c r="E25" s="9"/>
      <c r="F25" s="9"/>
    </row>
    <row r="26" spans="1:6" ht="25.5">
      <c r="A26" s="7" t="s">
        <v>23</v>
      </c>
      <c r="B26" s="63">
        <v>207645</v>
      </c>
      <c r="C26" s="63"/>
      <c r="D26" s="8"/>
      <c r="E26" s="9"/>
      <c r="F26" s="9"/>
    </row>
    <row r="27" spans="1:6">
      <c r="A27" s="7" t="s">
        <v>24</v>
      </c>
      <c r="B27" s="63"/>
      <c r="C27" s="63"/>
      <c r="D27" s="23">
        <f>D20+SUM(C21:C26)</f>
        <v>-125235</v>
      </c>
      <c r="E27" s="9"/>
      <c r="F27" s="9">
        <f>D27/$D$11</f>
        <v>-1.8510422061567496E-2</v>
      </c>
    </row>
    <row r="28" spans="1:6">
      <c r="A28" s="19" t="s">
        <v>154</v>
      </c>
      <c r="B28" s="63"/>
      <c r="C28" s="63">
        <v>274014</v>
      </c>
      <c r="D28" s="8"/>
      <c r="E28" s="9">
        <f>C28/$D$11*100</f>
        <v>4.050077686571929</v>
      </c>
      <c r="F28" s="9"/>
    </row>
    <row r="29" spans="1:6">
      <c r="A29" s="7" t="s">
        <v>25</v>
      </c>
      <c r="B29" s="63"/>
      <c r="C29" s="63"/>
      <c r="D29" s="23">
        <f>D27+C28</f>
        <v>148779</v>
      </c>
      <c r="E29" s="9"/>
      <c r="F29" s="9">
        <f>D29/$D$11</f>
        <v>2.1990354804151797E-2</v>
      </c>
    </row>
    <row r="30" spans="1:6">
      <c r="A30" s="7" t="s">
        <v>26</v>
      </c>
      <c r="B30" s="8"/>
      <c r="C30" s="8">
        <f>-SUM(B31:B32)</f>
        <v>-110832</v>
      </c>
      <c r="D30" s="8"/>
      <c r="E30" s="9">
        <f>C30/$D$11*100</f>
        <v>-1.638157941412264</v>
      </c>
      <c r="F30" s="9"/>
    </row>
    <row r="31" spans="1:6">
      <c r="A31" s="7" t="s">
        <v>27</v>
      </c>
      <c r="B31" s="8">
        <v>82207</v>
      </c>
      <c r="C31" s="8"/>
      <c r="D31" s="8"/>
      <c r="E31" s="9"/>
      <c r="F31" s="9"/>
    </row>
    <row r="32" spans="1:6" ht="25.5">
      <c r="A32" s="7" t="s">
        <v>152</v>
      </c>
      <c r="B32" s="8">
        <v>28625</v>
      </c>
      <c r="C32" s="8"/>
      <c r="D32" s="8"/>
      <c r="E32" s="9"/>
      <c r="F32" s="9"/>
    </row>
    <row r="33" spans="1:6">
      <c r="A33" s="22" t="s">
        <v>28</v>
      </c>
      <c r="B33" s="23"/>
      <c r="C33" s="23"/>
      <c r="D33" s="23">
        <f>D29+C30</f>
        <v>37947</v>
      </c>
      <c r="E33" s="24"/>
      <c r="F33" s="24">
        <f>D33/$D$11</f>
        <v>5.608775390029159E-3</v>
      </c>
    </row>
    <row r="34" spans="1:6">
      <c r="B34" s="20"/>
      <c r="C34" s="20"/>
      <c r="D34" s="20"/>
      <c r="E34" s="21"/>
      <c r="F34" s="21"/>
    </row>
    <row r="35" spans="1:6">
      <c r="B35" s="20"/>
      <c r="C35" s="20"/>
      <c r="D35" s="20"/>
      <c r="E35" s="21"/>
      <c r="F35" s="21"/>
    </row>
    <row r="36" spans="1:6" ht="32.85" customHeight="1"/>
    <row r="38" spans="1:6" ht="17.850000000000001" customHeight="1"/>
    <row r="96" spans="1:6" s="6" customFormat="1">
      <c r="A96" s="5"/>
      <c r="B96" s="5"/>
      <c r="C96" s="5"/>
      <c r="D96" s="5"/>
      <c r="E96" s="5"/>
      <c r="F96" s="5"/>
    </row>
  </sheetData>
  <sheetProtection selectLockedCells="1" selectUnlockedCells="1"/>
  <mergeCells count="4">
    <mergeCell ref="A3:F3"/>
    <mergeCell ref="B4:C4"/>
    <mergeCell ref="E4:F4"/>
    <mergeCell ref="A1:F1"/>
  </mergeCells>
  <phoneticPr fontId="4" type="noConversion"/>
  <pageMargins left="0.78740157480314965" right="0.78740157480314965" top="0.74803149606299213" bottom="0.55118110236220474" header="0.47244094488188981" footer="0.35433070866141736"/>
  <pageSetup paperSize="9" scale="95" orientation="landscape" useFirstPageNumber="1" r:id="rId1"/>
  <headerFooter alignWithMargins="0">
    <oddFooter>&amp;C&amp;"Times New Roman,Normale"&amp;12Pagina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L127"/>
  <sheetViews>
    <sheetView zoomScale="130" zoomScaleNormal="130" workbookViewId="0">
      <selection activeCell="I3" sqref="I3"/>
    </sheetView>
  </sheetViews>
  <sheetFormatPr defaultColWidth="11.5703125" defaultRowHeight="12.75"/>
  <cols>
    <col min="1" max="1" width="38.5703125" customWidth="1"/>
    <col min="2" max="2" width="13.7109375" bestFit="1" customWidth="1"/>
    <col min="3" max="3" width="10.7109375" customWidth="1"/>
    <col min="4" max="4" width="10.28515625" customWidth="1"/>
    <col min="5" max="5" width="7.7109375" customWidth="1"/>
    <col min="6" max="6" width="7.5703125" customWidth="1"/>
    <col min="7" max="7" width="9.5703125" customWidth="1"/>
  </cols>
  <sheetData>
    <row r="1" spans="1:8" ht="47.1" customHeight="1">
      <c r="A1" s="143" t="s">
        <v>171</v>
      </c>
      <c r="B1" s="143"/>
      <c r="C1" s="143"/>
      <c r="D1" s="143"/>
      <c r="E1" s="143"/>
      <c r="F1" s="143"/>
      <c r="G1" s="143"/>
      <c r="H1" s="25"/>
    </row>
    <row r="2" spans="1:8" ht="18.75">
      <c r="A2" s="3"/>
      <c r="B2" s="1"/>
      <c r="C2" s="1"/>
      <c r="D2" s="1"/>
      <c r="E2" s="2"/>
      <c r="F2" s="2"/>
      <c r="G2" s="2"/>
    </row>
    <row r="3" spans="1:8" ht="39" customHeight="1">
      <c r="A3" s="146" t="s">
        <v>172</v>
      </c>
      <c r="B3" s="146"/>
      <c r="C3" s="146"/>
      <c r="D3" s="146"/>
      <c r="E3" s="146"/>
      <c r="F3" s="146"/>
      <c r="G3" s="146"/>
    </row>
    <row r="4" spans="1:8" s="28" customFormat="1">
      <c r="A4" s="92" t="s">
        <v>29</v>
      </c>
      <c r="B4" s="147" t="s">
        <v>1</v>
      </c>
      <c r="C4" s="145"/>
      <c r="D4" s="93" t="s">
        <v>2</v>
      </c>
      <c r="E4" s="148" t="s">
        <v>3</v>
      </c>
      <c r="F4" s="148"/>
      <c r="G4" s="148"/>
    </row>
    <row r="5" spans="1:8" s="31" customFormat="1">
      <c r="A5" s="66" t="s">
        <v>30</v>
      </c>
      <c r="B5" s="71"/>
      <c r="C5" s="69"/>
      <c r="D5" s="29">
        <f>SUM(C6:C31)</f>
        <v>3279866</v>
      </c>
      <c r="E5" s="30"/>
      <c r="F5" s="30"/>
      <c r="G5" s="30">
        <f>SUM(F6:F31)</f>
        <v>7.031742496674151E-2</v>
      </c>
    </row>
    <row r="6" spans="1:8" s="28" customFormat="1">
      <c r="A6" s="67" t="s">
        <v>31</v>
      </c>
      <c r="B6" s="71"/>
      <c r="C6" s="70">
        <f>SUM(B7:B10)</f>
        <v>403485</v>
      </c>
      <c r="D6" s="27"/>
      <c r="E6" s="32"/>
      <c r="F6" s="32">
        <f>SUM(E7:E8)</f>
        <v>8.6503613905890338E-3</v>
      </c>
      <c r="G6" s="32"/>
    </row>
    <row r="7" spans="1:8" s="28" customFormat="1">
      <c r="A7" s="68" t="s">
        <v>32</v>
      </c>
      <c r="B7" s="77">
        <v>920</v>
      </c>
      <c r="C7" s="70"/>
      <c r="D7" s="27"/>
      <c r="E7" s="32">
        <f>B7/$D$64</f>
        <v>1.9723985970586047E-5</v>
      </c>
      <c r="F7" s="32"/>
      <c r="G7" s="32"/>
    </row>
    <row r="8" spans="1:8" s="28" customFormat="1">
      <c r="A8" s="68" t="s">
        <v>33</v>
      </c>
      <c r="B8" s="77">
        <v>402565</v>
      </c>
      <c r="C8" s="70"/>
      <c r="D8" s="27"/>
      <c r="E8" s="32">
        <f>B8/$D$64</f>
        <v>8.6306374046184482E-3</v>
      </c>
      <c r="F8" s="32"/>
      <c r="G8" s="32"/>
    </row>
    <row r="9" spans="1:8" s="28" customFormat="1">
      <c r="A9" s="68" t="s">
        <v>34</v>
      </c>
      <c r="B9" s="72"/>
      <c r="C9" s="70"/>
      <c r="D9" s="27"/>
      <c r="E9" s="32"/>
      <c r="F9" s="32"/>
      <c r="G9" s="32"/>
    </row>
    <row r="10" spans="1:8" s="28" customFormat="1">
      <c r="A10" s="68" t="s">
        <v>35</v>
      </c>
      <c r="B10" s="72"/>
      <c r="C10" s="70"/>
      <c r="D10" s="27"/>
      <c r="E10" s="32"/>
      <c r="F10" s="32"/>
      <c r="G10" s="32"/>
    </row>
    <row r="11" spans="1:8" s="28" customFormat="1">
      <c r="A11" s="67" t="s">
        <v>36</v>
      </c>
      <c r="B11" s="73"/>
      <c r="C11" s="70">
        <f>SUM(B12:B25)</f>
        <v>2781201</v>
      </c>
      <c r="D11" s="27"/>
      <c r="E11" s="32"/>
      <c r="F11" s="32">
        <f>SUM(E12:E23)</f>
        <v>5.9626488592804235E-2</v>
      </c>
      <c r="G11" s="32"/>
    </row>
    <row r="12" spans="1:8" s="28" customFormat="1">
      <c r="A12" s="68" t="s">
        <v>37</v>
      </c>
      <c r="B12" s="72">
        <v>0</v>
      </c>
      <c r="C12" s="70"/>
      <c r="D12" s="27"/>
      <c r="E12" s="32">
        <f t="shared" ref="E12:E23" si="0">B12/$D$64</f>
        <v>0</v>
      </c>
      <c r="F12" s="32"/>
      <c r="G12" s="32"/>
    </row>
    <row r="13" spans="1:8" s="28" customFormat="1">
      <c r="A13" s="68" t="s">
        <v>38</v>
      </c>
      <c r="B13" s="77">
        <v>0</v>
      </c>
      <c r="C13" s="70"/>
      <c r="D13" s="27"/>
      <c r="E13" s="32">
        <f t="shared" si="0"/>
        <v>0</v>
      </c>
      <c r="F13" s="32"/>
      <c r="G13" s="32"/>
    </row>
    <row r="14" spans="1:8" s="28" customFormat="1" ht="25.5">
      <c r="A14" s="68" t="s">
        <v>39</v>
      </c>
      <c r="B14" s="77">
        <f>329231+1836</f>
        <v>331067</v>
      </c>
      <c r="C14" s="70"/>
      <c r="D14" s="27"/>
      <c r="E14" s="32">
        <f t="shared" si="0"/>
        <v>7.0977835470913166E-3</v>
      </c>
      <c r="F14" s="32"/>
      <c r="G14" s="32"/>
    </row>
    <row r="15" spans="1:8" s="28" customFormat="1" ht="24" customHeight="1">
      <c r="A15" s="68" t="s">
        <v>40</v>
      </c>
      <c r="B15" s="77">
        <v>1128301</v>
      </c>
      <c r="C15" s="70"/>
      <c r="D15" s="27"/>
      <c r="E15" s="32">
        <f t="shared" si="0"/>
        <v>2.4189775102824142E-2</v>
      </c>
      <c r="F15" s="32"/>
      <c r="G15" s="32"/>
    </row>
    <row r="16" spans="1:8" s="28" customFormat="1" ht="27" customHeight="1">
      <c r="A16" s="68" t="s">
        <v>41</v>
      </c>
      <c r="B16" s="77">
        <v>45409</v>
      </c>
      <c r="C16" s="70"/>
      <c r="D16" s="27"/>
      <c r="E16" s="32">
        <f t="shared" si="0"/>
        <v>9.7352878145471938E-4</v>
      </c>
      <c r="F16" s="32"/>
      <c r="G16" s="32"/>
    </row>
    <row r="17" spans="1:7" s="28" customFormat="1">
      <c r="A17" s="68" t="s">
        <v>42</v>
      </c>
      <c r="B17" s="77">
        <v>44507</v>
      </c>
      <c r="C17" s="70"/>
      <c r="D17" s="27"/>
      <c r="E17" s="32">
        <f t="shared" si="0"/>
        <v>9.5419069955747092E-4</v>
      </c>
      <c r="F17" s="32"/>
      <c r="G17" s="32"/>
    </row>
    <row r="18" spans="1:7" s="28" customFormat="1" ht="28.5" customHeight="1">
      <c r="A18" s="68" t="s">
        <v>43</v>
      </c>
      <c r="B18" s="77">
        <v>0</v>
      </c>
      <c r="C18" s="70"/>
      <c r="D18" s="27"/>
      <c r="E18" s="32">
        <f t="shared" si="0"/>
        <v>0</v>
      </c>
      <c r="F18" s="32"/>
      <c r="G18" s="32"/>
    </row>
    <row r="19" spans="1:7" s="28" customFormat="1">
      <c r="A19" s="68" t="s">
        <v>44</v>
      </c>
      <c r="B19" s="77">
        <f>457461+118790</f>
        <v>576251</v>
      </c>
      <c r="C19" s="70"/>
      <c r="D19" s="27"/>
      <c r="E19" s="32">
        <f t="shared" si="0"/>
        <v>1.2354311564713239E-2</v>
      </c>
      <c r="F19" s="32"/>
      <c r="G19" s="32"/>
    </row>
    <row r="20" spans="1:7" s="28" customFormat="1" ht="28.5" customHeight="1">
      <c r="A20" s="68" t="s">
        <v>45</v>
      </c>
      <c r="B20" s="77">
        <f>63211+472504+2653+204</f>
        <v>538572</v>
      </c>
      <c r="C20" s="70"/>
      <c r="D20" s="27"/>
      <c r="E20" s="32">
        <f t="shared" si="0"/>
        <v>1.1546507143641815E-2</v>
      </c>
      <c r="F20" s="32"/>
      <c r="G20" s="32"/>
    </row>
    <row r="21" spans="1:7" s="28" customFormat="1">
      <c r="A21" s="68" t="s">
        <v>46</v>
      </c>
      <c r="B21" s="77">
        <v>377759</v>
      </c>
      <c r="C21" s="70"/>
      <c r="D21" s="27"/>
      <c r="E21" s="32">
        <f t="shared" si="0"/>
        <v>8.0988187133289296E-3</v>
      </c>
      <c r="F21" s="32"/>
      <c r="G21" s="32"/>
    </row>
    <row r="22" spans="1:7" s="28" customFormat="1">
      <c r="A22" s="68" t="s">
        <v>47</v>
      </c>
      <c r="B22" s="77">
        <f>-337271-35939+6404</f>
        <v>-366806</v>
      </c>
      <c r="C22" s="70"/>
      <c r="D22" s="27"/>
      <c r="E22" s="32">
        <f t="shared" si="0"/>
        <v>-7.8639960847030291E-3</v>
      </c>
      <c r="F22" s="32"/>
      <c r="G22" s="32"/>
    </row>
    <row r="23" spans="1:7" s="28" customFormat="1">
      <c r="A23" s="68" t="s">
        <v>48</v>
      </c>
      <c r="B23" s="77">
        <v>106141</v>
      </c>
      <c r="C23" s="70"/>
      <c r="D23" s="27"/>
      <c r="E23" s="32">
        <f t="shared" si="0"/>
        <v>2.2755691248956236E-3</v>
      </c>
      <c r="F23" s="32"/>
      <c r="G23" s="32"/>
    </row>
    <row r="24" spans="1:7" s="28" customFormat="1">
      <c r="A24" s="68" t="s">
        <v>49</v>
      </c>
      <c r="B24" s="77"/>
      <c r="C24" s="70"/>
      <c r="D24" s="27"/>
      <c r="E24" s="32"/>
      <c r="F24" s="32"/>
      <c r="G24" s="32"/>
    </row>
    <row r="25" spans="1:7" s="28" customFormat="1">
      <c r="A25" s="68" t="s">
        <v>35</v>
      </c>
      <c r="B25" s="77"/>
      <c r="C25" s="70"/>
      <c r="D25" s="27"/>
      <c r="E25" s="32"/>
      <c r="F25" s="32"/>
      <c r="G25" s="32"/>
    </row>
    <row r="26" spans="1:7" s="28" customFormat="1">
      <c r="A26" s="67" t="s">
        <v>50</v>
      </c>
      <c r="B26" s="104"/>
      <c r="C26" s="70">
        <f>SUM(B27:B31)</f>
        <v>95180</v>
      </c>
      <c r="D26" s="27"/>
      <c r="E26" s="32"/>
      <c r="F26" s="32">
        <f>SUM(E27:E28)</f>
        <v>2.0405749833482391E-3</v>
      </c>
      <c r="G26" s="32"/>
    </row>
    <row r="27" spans="1:7" s="28" customFormat="1">
      <c r="A27" s="68" t="s">
        <v>51</v>
      </c>
      <c r="B27" s="77">
        <v>84534</v>
      </c>
      <c r="C27" s="70"/>
      <c r="D27" s="27"/>
      <c r="E27" s="32">
        <f>B27/$D$64</f>
        <v>1.8123341630842619E-3</v>
      </c>
      <c r="F27" s="32"/>
      <c r="G27" s="32"/>
    </row>
    <row r="28" spans="1:7" s="28" customFormat="1">
      <c r="A28" s="68" t="s">
        <v>52</v>
      </c>
      <c r="B28" s="77">
        <f>10522+124</f>
        <v>10646</v>
      </c>
      <c r="C28" s="70"/>
      <c r="D28" s="27"/>
      <c r="E28" s="32">
        <f>B28/$D$64</f>
        <v>2.2824082026397726E-4</v>
      </c>
      <c r="F28" s="32"/>
      <c r="G28" s="32"/>
    </row>
    <row r="29" spans="1:7" s="28" customFormat="1">
      <c r="A29" s="68" t="s">
        <v>53</v>
      </c>
      <c r="B29" s="77"/>
      <c r="C29" s="70"/>
      <c r="D29" s="27"/>
      <c r="E29" s="32"/>
      <c r="F29" s="32"/>
      <c r="G29" s="32"/>
    </row>
    <row r="30" spans="1:7" s="28" customFormat="1">
      <c r="A30" s="68" t="s">
        <v>54</v>
      </c>
      <c r="B30" s="77"/>
      <c r="C30" s="70"/>
      <c r="D30" s="27"/>
      <c r="E30" s="32"/>
      <c r="F30" s="32"/>
      <c r="G30" s="32"/>
    </row>
    <row r="31" spans="1:7" s="28" customFormat="1">
      <c r="A31" s="68" t="s">
        <v>55</v>
      </c>
      <c r="B31" s="77"/>
      <c r="C31" s="70"/>
      <c r="D31" s="27"/>
      <c r="E31" s="32"/>
      <c r="F31" s="32"/>
      <c r="G31" s="32"/>
    </row>
    <row r="32" spans="1:7" s="31" customFormat="1">
      <c r="A32" s="66" t="s">
        <v>56</v>
      </c>
      <c r="B32" s="105"/>
      <c r="C32" s="69"/>
      <c r="D32" s="29">
        <f>SUM(C33:C63)</f>
        <v>43363850</v>
      </c>
      <c r="E32" s="30"/>
      <c r="F32" s="30"/>
      <c r="G32" s="30">
        <f>SUM(F33:F63)</f>
        <v>0.92968257503325857</v>
      </c>
    </row>
    <row r="33" spans="1:10" s="28" customFormat="1">
      <c r="A33" s="67" t="s">
        <v>57</v>
      </c>
      <c r="B33" s="104"/>
      <c r="C33" s="70">
        <f>SUM(B34:B45)</f>
        <v>34399447</v>
      </c>
      <c r="D33" s="27"/>
      <c r="E33" s="32"/>
      <c r="F33" s="32">
        <f>SUM(E34:E44)</f>
        <v>0.73749370654773738</v>
      </c>
      <c r="G33" s="32"/>
    </row>
    <row r="34" spans="1:10" s="28" customFormat="1" ht="24.75" customHeight="1">
      <c r="A34" s="68" t="s">
        <v>58</v>
      </c>
      <c r="B34" s="106">
        <f>22852287</f>
        <v>22852287</v>
      </c>
      <c r="C34" s="70"/>
      <c r="D34" s="27"/>
      <c r="E34" s="32">
        <f t="shared" ref="E34:E44" si="1">B34/$D$64</f>
        <v>0.48993281324326732</v>
      </c>
      <c r="F34" s="32"/>
      <c r="G34" s="32"/>
    </row>
    <row r="35" spans="1:10" s="28" customFormat="1" ht="25.5" customHeight="1">
      <c r="A35" s="68" t="s">
        <v>79</v>
      </c>
      <c r="B35" s="77">
        <f>729837+24320115</f>
        <v>25049952</v>
      </c>
      <c r="C35" s="70"/>
      <c r="D35" s="27"/>
      <c r="E35" s="32">
        <f t="shared" si="1"/>
        <v>0.53704880631723251</v>
      </c>
      <c r="F35" s="32"/>
      <c r="G35" s="32"/>
    </row>
    <row r="36" spans="1:10" s="28" customFormat="1">
      <c r="A36" s="68" t="s">
        <v>59</v>
      </c>
      <c r="B36" s="77">
        <v>488992</v>
      </c>
      <c r="C36" s="70"/>
      <c r="D36" s="27"/>
      <c r="E36" s="32">
        <f t="shared" si="1"/>
        <v>1.0483555812748711E-2</v>
      </c>
      <c r="F36" s="32"/>
      <c r="G36" s="32"/>
    </row>
    <row r="37" spans="1:10" s="28" customFormat="1" ht="24.75" customHeight="1">
      <c r="A37" s="68" t="s">
        <v>60</v>
      </c>
      <c r="B37" s="77">
        <v>295506</v>
      </c>
      <c r="C37" s="70"/>
      <c r="D37" s="27"/>
      <c r="E37" s="32">
        <f t="shared" si="1"/>
        <v>6.3353871719826092E-3</v>
      </c>
      <c r="F37" s="32"/>
      <c r="G37" s="32"/>
    </row>
    <row r="38" spans="1:10" s="28" customFormat="1">
      <c r="A38" s="68" t="s">
        <v>61</v>
      </c>
      <c r="B38" s="106">
        <f>1616004</f>
        <v>1616004</v>
      </c>
      <c r="C38" s="70"/>
      <c r="D38" s="27"/>
      <c r="E38" s="32">
        <f t="shared" si="1"/>
        <v>3.4645695896098845E-2</v>
      </c>
      <c r="F38" s="32"/>
      <c r="G38" s="32"/>
    </row>
    <row r="39" spans="1:10" s="28" customFormat="1">
      <c r="A39" s="68" t="s">
        <v>62</v>
      </c>
      <c r="B39" s="77">
        <v>0</v>
      </c>
      <c r="C39" s="70"/>
      <c r="D39" s="27"/>
      <c r="E39" s="32">
        <f t="shared" si="1"/>
        <v>0</v>
      </c>
      <c r="F39" s="32"/>
      <c r="G39" s="32"/>
    </row>
    <row r="40" spans="1:10" s="28" customFormat="1" ht="25.5" customHeight="1">
      <c r="A40" s="68" t="s">
        <v>161</v>
      </c>
      <c r="B40" s="77">
        <v>103740</v>
      </c>
      <c r="C40" s="70"/>
      <c r="D40" s="27"/>
      <c r="E40" s="32">
        <f t="shared" si="1"/>
        <v>2.224093809335431E-3</v>
      </c>
      <c r="F40" s="32"/>
      <c r="G40" s="32"/>
      <c r="J40" s="89"/>
    </row>
    <row r="41" spans="1:10" s="28" customFormat="1">
      <c r="A41" s="68" t="s">
        <v>63</v>
      </c>
      <c r="B41" s="77">
        <v>209951</v>
      </c>
      <c r="C41" s="70"/>
      <c r="D41" s="27"/>
      <c r="E41" s="32">
        <f t="shared" si="1"/>
        <v>4.5011636722940345E-3</v>
      </c>
      <c r="F41" s="32"/>
      <c r="G41" s="32"/>
    </row>
    <row r="42" spans="1:10" s="28" customFormat="1">
      <c r="A42" s="68" t="s">
        <v>64</v>
      </c>
      <c r="B42" s="77">
        <f>-8896528-5309179-421967-260128-1089358-83322-156503</f>
        <v>-16216985</v>
      </c>
      <c r="C42" s="70"/>
      <c r="D42" s="27"/>
      <c r="E42" s="97">
        <f t="shared" si="1"/>
        <v>-0.34767780937522214</v>
      </c>
      <c r="F42" s="32"/>
      <c r="G42" s="32"/>
    </row>
    <row r="43" spans="1:10" s="28" customFormat="1">
      <c r="A43" s="68" t="s">
        <v>65</v>
      </c>
      <c r="B43" s="77"/>
      <c r="C43" s="70"/>
      <c r="D43" s="27"/>
      <c r="E43" s="32">
        <f t="shared" si="1"/>
        <v>0</v>
      </c>
      <c r="F43" s="32"/>
      <c r="G43" s="32"/>
    </row>
    <row r="44" spans="1:10" s="28" customFormat="1">
      <c r="A44" s="68" t="s">
        <v>66</v>
      </c>
      <c r="B44" s="77"/>
      <c r="C44" s="70"/>
      <c r="D44" s="27"/>
      <c r="E44" s="32">
        <f t="shared" si="1"/>
        <v>0</v>
      </c>
      <c r="F44" s="32"/>
      <c r="G44" s="32"/>
    </row>
    <row r="45" spans="1:10" s="28" customFormat="1">
      <c r="A45" s="68" t="s">
        <v>35</v>
      </c>
      <c r="B45" s="72"/>
      <c r="C45" s="70"/>
      <c r="D45" s="27"/>
      <c r="E45" s="32"/>
      <c r="F45" s="32"/>
      <c r="G45" s="32"/>
    </row>
    <row r="46" spans="1:10" s="28" customFormat="1">
      <c r="A46" s="67" t="s">
        <v>67</v>
      </c>
      <c r="B46" s="73"/>
      <c r="C46" s="70">
        <f>SUM(B47:B55)</f>
        <v>3994</v>
      </c>
      <c r="D46" s="27"/>
      <c r="E46" s="32"/>
      <c r="F46" s="32">
        <f>SUM(E47:E56)</f>
        <v>8.5627826050566069E-5</v>
      </c>
      <c r="G46" s="32"/>
    </row>
    <row r="47" spans="1:10" s="28" customFormat="1">
      <c r="A47" s="68" t="s">
        <v>68</v>
      </c>
      <c r="B47" s="77">
        <f>66318</f>
        <v>66318</v>
      </c>
      <c r="C47" s="70"/>
      <c r="D47" s="27"/>
      <c r="E47" s="32">
        <f t="shared" ref="E47:E55" si="2">B47/$D$64</f>
        <v>1.4217992408666583E-3</v>
      </c>
      <c r="F47" s="32"/>
      <c r="G47" s="32"/>
    </row>
    <row r="48" spans="1:10" s="28" customFormat="1" ht="25.5">
      <c r="A48" s="68" t="s">
        <v>69</v>
      </c>
      <c r="B48" s="77">
        <v>0</v>
      </c>
      <c r="C48" s="70"/>
      <c r="D48" s="27"/>
      <c r="E48" s="32">
        <f t="shared" si="2"/>
        <v>0</v>
      </c>
      <c r="F48" s="32"/>
      <c r="G48" s="32"/>
    </row>
    <row r="49" spans="1:12" s="28" customFormat="1" ht="23.25" customHeight="1">
      <c r="A49" s="68" t="s">
        <v>70</v>
      </c>
      <c r="B49" s="77">
        <f>74185</f>
        <v>74185</v>
      </c>
      <c r="C49" s="70"/>
      <c r="D49" s="27"/>
      <c r="E49" s="32">
        <f t="shared" si="2"/>
        <v>1.5904607600303543E-3</v>
      </c>
      <c r="F49" s="32"/>
      <c r="G49" s="32"/>
    </row>
    <row r="50" spans="1:12" s="28" customFormat="1">
      <c r="A50" s="68" t="s">
        <v>71</v>
      </c>
      <c r="B50" s="77">
        <v>0</v>
      </c>
      <c r="C50" s="70"/>
      <c r="D50" s="27"/>
      <c r="E50" s="32">
        <f t="shared" si="2"/>
        <v>0</v>
      </c>
      <c r="F50" s="32"/>
      <c r="G50" s="32"/>
    </row>
    <row r="51" spans="1:12" s="28" customFormat="1">
      <c r="A51" s="68" t="s">
        <v>72</v>
      </c>
      <c r="B51" s="77">
        <v>0</v>
      </c>
      <c r="C51" s="70"/>
      <c r="D51" s="27"/>
      <c r="E51" s="32">
        <f t="shared" si="2"/>
        <v>0</v>
      </c>
      <c r="F51" s="32"/>
      <c r="G51" s="32"/>
    </row>
    <row r="52" spans="1:12" s="28" customFormat="1">
      <c r="A52" s="68" t="s">
        <v>66</v>
      </c>
      <c r="B52" s="77">
        <v>0</v>
      </c>
      <c r="C52" s="70"/>
      <c r="D52" s="27"/>
      <c r="E52" s="32">
        <f t="shared" si="2"/>
        <v>0</v>
      </c>
      <c r="F52" s="32"/>
      <c r="G52" s="32"/>
    </row>
    <row r="53" spans="1:12" s="28" customFormat="1">
      <c r="A53" s="68" t="s">
        <v>73</v>
      </c>
      <c r="B53" s="77">
        <f>53710+148534</f>
        <v>202244</v>
      </c>
      <c r="C53" s="70"/>
      <c r="D53" s="27"/>
      <c r="E53" s="32">
        <f t="shared" si="2"/>
        <v>4.3359324115600055E-3</v>
      </c>
      <c r="F53" s="32"/>
      <c r="G53" s="32"/>
    </row>
    <row r="54" spans="1:12" s="28" customFormat="1">
      <c r="A54" s="68" t="s">
        <v>64</v>
      </c>
      <c r="B54" s="77">
        <f>-66313-70196-53710-148534</f>
        <v>-338753</v>
      </c>
      <c r="C54" s="70"/>
      <c r="D54" s="27"/>
      <c r="E54" s="97">
        <f>B54/$D$64</f>
        <v>-7.262564586406452E-3</v>
      </c>
      <c r="F54" s="32"/>
      <c r="G54" s="32"/>
    </row>
    <row r="55" spans="1:12" s="28" customFormat="1">
      <c r="A55" s="68" t="s">
        <v>65</v>
      </c>
      <c r="B55" s="77">
        <v>0</v>
      </c>
      <c r="C55" s="70"/>
      <c r="D55" s="27"/>
      <c r="E55" s="32">
        <f t="shared" si="2"/>
        <v>0</v>
      </c>
      <c r="F55" s="32"/>
      <c r="G55" s="32"/>
      <c r="J55" s="89"/>
    </row>
    <row r="56" spans="1:12" s="28" customFormat="1">
      <c r="A56" s="68" t="s">
        <v>35</v>
      </c>
      <c r="B56" s="77"/>
      <c r="C56" s="70"/>
      <c r="D56" s="27"/>
      <c r="E56" s="32"/>
      <c r="F56" s="32"/>
      <c r="G56" s="32"/>
    </row>
    <row r="57" spans="1:12" s="28" customFormat="1">
      <c r="A57" s="67" t="s">
        <v>74</v>
      </c>
      <c r="B57" s="104"/>
      <c r="C57" s="70">
        <f>SUM(B58:B63)</f>
        <v>8960409</v>
      </c>
      <c r="D57" s="27"/>
      <c r="E57" s="32"/>
      <c r="F57" s="32">
        <f>SUM(E58:E63)</f>
        <v>0.19210324065947063</v>
      </c>
      <c r="G57" s="32"/>
    </row>
    <row r="58" spans="1:12" s="28" customFormat="1" ht="23.25" customHeight="1">
      <c r="A58" s="68" t="s">
        <v>75</v>
      </c>
      <c r="B58" s="77">
        <f>1402833+7518902</f>
        <v>8921735</v>
      </c>
      <c r="C58" s="70"/>
      <c r="D58" s="27"/>
      <c r="E58" s="32">
        <f t="shared" ref="E58:E63" si="3">B58/$D$64</f>
        <v>0.19127410431878969</v>
      </c>
      <c r="F58" s="32"/>
      <c r="G58" s="32"/>
    </row>
    <row r="59" spans="1:12" s="28" customFormat="1" ht="25.5" customHeight="1">
      <c r="A59" s="68" t="s">
        <v>76</v>
      </c>
      <c r="B59" s="77">
        <v>0</v>
      </c>
      <c r="C59" s="70"/>
      <c r="D59" s="27"/>
      <c r="E59" s="32">
        <f t="shared" si="3"/>
        <v>0</v>
      </c>
      <c r="F59" s="32"/>
      <c r="G59" s="32"/>
    </row>
    <row r="60" spans="1:12" s="28" customFormat="1">
      <c r="A60" s="68" t="s">
        <v>77</v>
      </c>
      <c r="B60" s="77">
        <v>1000</v>
      </c>
      <c r="C60" s="70"/>
      <c r="D60" s="27"/>
      <c r="E60" s="32">
        <f t="shared" si="3"/>
        <v>2.1439115185419619E-5</v>
      </c>
      <c r="F60" s="32"/>
      <c r="G60" s="32"/>
    </row>
    <row r="61" spans="1:12" s="28" customFormat="1">
      <c r="A61" s="68" t="s">
        <v>78</v>
      </c>
      <c r="B61" s="77"/>
      <c r="C61" s="70"/>
      <c r="D61" s="27"/>
      <c r="E61" s="32">
        <f t="shared" si="3"/>
        <v>0</v>
      </c>
      <c r="F61" s="32"/>
      <c r="G61" s="32"/>
    </row>
    <row r="62" spans="1:12" s="28" customFormat="1">
      <c r="A62" s="68" t="s">
        <v>80</v>
      </c>
      <c r="B62" s="77">
        <v>32274</v>
      </c>
      <c r="C62" s="70"/>
      <c r="D62" s="27"/>
      <c r="E62" s="32">
        <f t="shared" si="3"/>
        <v>6.9192600349423272E-4</v>
      </c>
      <c r="F62" s="32"/>
      <c r="G62" s="32"/>
    </row>
    <row r="63" spans="1:12" s="28" customFormat="1" ht="25.5">
      <c r="A63" s="68" t="s">
        <v>184</v>
      </c>
      <c r="B63" s="72">
        <v>5400</v>
      </c>
      <c r="C63" s="70"/>
      <c r="D63" s="27"/>
      <c r="E63" s="32">
        <f t="shared" si="3"/>
        <v>1.1577122200126594E-4</v>
      </c>
      <c r="F63" s="32"/>
      <c r="G63" s="32"/>
    </row>
    <row r="64" spans="1:12" s="31" customFormat="1">
      <c r="A64" s="66" t="s">
        <v>81</v>
      </c>
      <c r="B64" s="74"/>
      <c r="C64" s="69"/>
      <c r="D64" s="96">
        <f>SUM(D5:D63)</f>
        <v>46643716</v>
      </c>
      <c r="E64" s="30"/>
      <c r="F64" s="30"/>
      <c r="G64" s="30">
        <f>SUM(G5:G63)</f>
        <v>1</v>
      </c>
      <c r="L64" s="88"/>
    </row>
    <row r="65" spans="1:7" s="28" customFormat="1">
      <c r="A65" s="92" t="s">
        <v>82</v>
      </c>
      <c r="B65" s="144" t="s">
        <v>1</v>
      </c>
      <c r="C65" s="145"/>
      <c r="D65" s="94"/>
      <c r="E65" s="94"/>
      <c r="F65" s="94"/>
      <c r="G65" s="94"/>
    </row>
    <row r="66" spans="1:7" s="31" customFormat="1">
      <c r="A66" s="26" t="s">
        <v>83</v>
      </c>
      <c r="B66" s="75"/>
      <c r="C66" s="29"/>
      <c r="D66" s="29">
        <f>SUM(C67:C90)</f>
        <v>9148264</v>
      </c>
      <c r="E66" s="30"/>
      <c r="F66" s="30"/>
      <c r="G66" s="30">
        <f>SUM(F67:F104)</f>
        <v>0.196130728520858</v>
      </c>
    </row>
    <row r="67" spans="1:7" s="28" customFormat="1">
      <c r="A67" s="67" t="s">
        <v>84</v>
      </c>
      <c r="B67" s="71"/>
      <c r="C67" s="95">
        <f>SUM(B68:B88)-2</f>
        <v>2646520</v>
      </c>
      <c r="D67" s="27"/>
      <c r="E67" s="32"/>
      <c r="F67" s="32">
        <f>SUM(E68:E89)</f>
        <v>5.6739089998747098E-2</v>
      </c>
      <c r="G67" s="32"/>
    </row>
    <row r="68" spans="1:7" s="28" customFormat="1">
      <c r="A68" s="68" t="s">
        <v>85</v>
      </c>
      <c r="B68" s="77">
        <v>76587</v>
      </c>
      <c r="C68" s="70"/>
      <c r="D68" s="27"/>
      <c r="E68" s="32">
        <f t="shared" ref="E68:E89" si="4">B68/$D$121</f>
        <v>1.6419575147057323E-3</v>
      </c>
      <c r="F68" s="32"/>
      <c r="G68" s="32"/>
    </row>
    <row r="69" spans="1:7" s="28" customFormat="1">
      <c r="A69" s="68" t="s">
        <v>86</v>
      </c>
      <c r="B69" s="77">
        <v>766569</v>
      </c>
      <c r="C69" s="70"/>
      <c r="D69" s="27"/>
      <c r="E69" s="32">
        <f t="shared" si="4"/>
        <v>1.6434561088571931E-2</v>
      </c>
      <c r="F69" s="32"/>
      <c r="G69" s="32"/>
    </row>
    <row r="70" spans="1:7" s="28" customFormat="1">
      <c r="A70" s="68" t="s">
        <v>87</v>
      </c>
      <c r="B70" s="77">
        <v>0</v>
      </c>
      <c r="C70" s="70"/>
      <c r="D70" s="27"/>
      <c r="E70" s="32">
        <f t="shared" si="4"/>
        <v>0</v>
      </c>
      <c r="F70" s="32"/>
      <c r="G70" s="32"/>
    </row>
    <row r="71" spans="1:7" s="28" customFormat="1">
      <c r="A71" s="68" t="s">
        <v>88</v>
      </c>
      <c r="B71" s="77">
        <v>0</v>
      </c>
      <c r="C71" s="70"/>
      <c r="D71" s="27"/>
      <c r="E71" s="32">
        <f t="shared" si="4"/>
        <v>0</v>
      </c>
      <c r="F71" s="32"/>
      <c r="G71" s="32"/>
    </row>
    <row r="72" spans="1:7" s="28" customFormat="1" ht="25.5">
      <c r="A72" s="68" t="s">
        <v>89</v>
      </c>
      <c r="B72" s="77">
        <v>20</v>
      </c>
      <c r="C72" s="70"/>
      <c r="D72" s="27"/>
      <c r="E72" s="32">
        <f t="shared" si="4"/>
        <v>4.2878230370839234E-7</v>
      </c>
      <c r="F72" s="32"/>
      <c r="G72" s="32"/>
    </row>
    <row r="73" spans="1:7" s="28" customFormat="1" ht="24.75" customHeight="1">
      <c r="A73" s="68" t="s">
        <v>90</v>
      </c>
      <c r="B73" s="77">
        <v>1502</v>
      </c>
      <c r="C73" s="70"/>
      <c r="D73" s="27"/>
      <c r="E73" s="32">
        <f t="shared" si="4"/>
        <v>3.2201551008500266E-5</v>
      </c>
      <c r="F73" s="32"/>
      <c r="G73" s="32"/>
    </row>
    <row r="74" spans="1:7" s="28" customFormat="1" ht="26.25" customHeight="1">
      <c r="A74" s="68" t="s">
        <v>91</v>
      </c>
      <c r="B74" s="77">
        <v>120</v>
      </c>
      <c r="C74" s="70"/>
      <c r="D74" s="27"/>
      <c r="E74" s="32">
        <f t="shared" si="4"/>
        <v>2.5726938222503543E-6</v>
      </c>
      <c r="F74" s="32"/>
      <c r="G74" s="32"/>
    </row>
    <row r="75" spans="1:7" s="28" customFormat="1">
      <c r="A75" s="68" t="s">
        <v>92</v>
      </c>
      <c r="B75" s="77">
        <v>102482</v>
      </c>
      <c r="C75" s="70"/>
      <c r="D75" s="27"/>
      <c r="E75" s="32">
        <f t="shared" si="4"/>
        <v>2.1971234024321731E-3</v>
      </c>
      <c r="F75" s="32"/>
      <c r="G75" s="32"/>
    </row>
    <row r="76" spans="1:7" s="28" customFormat="1" ht="24" customHeight="1">
      <c r="A76" s="68" t="s">
        <v>93</v>
      </c>
      <c r="B76" s="77">
        <v>0</v>
      </c>
      <c r="C76" s="70"/>
      <c r="D76" s="27"/>
      <c r="E76" s="32">
        <f t="shared" si="4"/>
        <v>0</v>
      </c>
      <c r="F76" s="32"/>
      <c r="G76" s="32"/>
    </row>
    <row r="77" spans="1:7" s="28" customFormat="1" ht="26.25" customHeight="1">
      <c r="A77" s="68" t="s">
        <v>94</v>
      </c>
      <c r="B77" s="77">
        <v>21056</v>
      </c>
      <c r="C77" s="70"/>
      <c r="D77" s="27"/>
      <c r="E77" s="32">
        <f t="shared" si="4"/>
        <v>4.5142200934419549E-4</v>
      </c>
      <c r="F77" s="32"/>
      <c r="G77" s="32"/>
    </row>
    <row r="78" spans="1:7" s="28" customFormat="1" ht="25.5">
      <c r="A78" s="68" t="s">
        <v>95</v>
      </c>
      <c r="B78" s="77">
        <v>91037</v>
      </c>
      <c r="C78" s="70"/>
      <c r="D78" s="27"/>
      <c r="E78" s="32">
        <f t="shared" si="4"/>
        <v>1.9517527291350457E-3</v>
      </c>
      <c r="F78" s="32"/>
      <c r="G78" s="32"/>
    </row>
    <row r="79" spans="1:7" s="28" customFormat="1" ht="24" customHeight="1">
      <c r="A79" s="68" t="s">
        <v>96</v>
      </c>
      <c r="B79" s="77">
        <v>236718</v>
      </c>
      <c r="C79" s="70"/>
      <c r="D79" s="27"/>
      <c r="E79" s="32">
        <f t="shared" si="4"/>
        <v>5.0750244684621615E-3</v>
      </c>
      <c r="F79" s="32"/>
      <c r="G79" s="32"/>
    </row>
    <row r="80" spans="1:7" s="28" customFormat="1" ht="24" customHeight="1">
      <c r="A80" s="68" t="s">
        <v>97</v>
      </c>
      <c r="B80" s="77">
        <v>177436</v>
      </c>
      <c r="C80" s="70"/>
      <c r="D80" s="27"/>
      <c r="E80" s="32">
        <f t="shared" si="4"/>
        <v>3.8040708420401153E-3</v>
      </c>
      <c r="F80" s="32"/>
      <c r="G80" s="32"/>
    </row>
    <row r="81" spans="1:12" s="28" customFormat="1">
      <c r="A81" s="68" t="s">
        <v>98</v>
      </c>
      <c r="B81" s="106">
        <v>255117</v>
      </c>
      <c r="C81" s="70"/>
      <c r="D81" s="27"/>
      <c r="E81" s="32">
        <f t="shared" si="4"/>
        <v>5.4694827487586969E-3</v>
      </c>
      <c r="F81" s="32"/>
      <c r="G81" s="32"/>
    </row>
    <row r="82" spans="1:12" s="28" customFormat="1" ht="25.5">
      <c r="A82" s="68" t="s">
        <v>99</v>
      </c>
      <c r="B82" s="77">
        <f>558217+2266</f>
        <v>560483</v>
      </c>
      <c r="C82" s="70"/>
      <c r="D82" s="27"/>
      <c r="E82" s="32">
        <f t="shared" si="4"/>
        <v>1.2016259596469544E-2</v>
      </c>
      <c r="F82" s="32"/>
      <c r="G82" s="32"/>
    </row>
    <row r="83" spans="1:12" s="28" customFormat="1">
      <c r="A83" s="68" t="s">
        <v>100</v>
      </c>
      <c r="B83" s="77">
        <v>11028</v>
      </c>
      <c r="C83" s="70"/>
      <c r="D83" s="27"/>
      <c r="E83" s="32">
        <f t="shared" si="4"/>
        <v>2.3643056226480756E-4</v>
      </c>
      <c r="F83" s="32"/>
      <c r="G83" s="32"/>
    </row>
    <row r="84" spans="1:12" s="28" customFormat="1">
      <c r="A84" s="68" t="s">
        <v>101</v>
      </c>
      <c r="B84" s="77">
        <v>309089</v>
      </c>
      <c r="C84" s="70"/>
      <c r="D84" s="27"/>
      <c r="E84" s="32">
        <f t="shared" si="4"/>
        <v>6.6265946735461646E-3</v>
      </c>
      <c r="F84" s="32"/>
      <c r="G84" s="32"/>
    </row>
    <row r="85" spans="1:12" s="28" customFormat="1">
      <c r="A85" s="68" t="s">
        <v>102</v>
      </c>
      <c r="B85" s="77">
        <v>5320</v>
      </c>
      <c r="C85" s="70"/>
      <c r="D85" s="27"/>
      <c r="E85" s="32">
        <f t="shared" si="4"/>
        <v>1.1405609278643237E-4</v>
      </c>
      <c r="F85" s="32"/>
      <c r="G85" s="32"/>
    </row>
    <row r="86" spans="1:12" s="28" customFormat="1" ht="25.5">
      <c r="A86" s="68" t="s">
        <v>103</v>
      </c>
      <c r="B86" s="77">
        <v>0</v>
      </c>
      <c r="C86" s="70"/>
      <c r="D86" s="27"/>
      <c r="E86" s="32">
        <f t="shared" si="4"/>
        <v>0</v>
      </c>
      <c r="F86" s="32"/>
      <c r="G86" s="32"/>
      <c r="H86" s="33"/>
      <c r="I86" s="33"/>
      <c r="J86" s="33"/>
      <c r="K86" s="33"/>
      <c r="L86" s="33"/>
    </row>
    <row r="87" spans="1:12" s="28" customFormat="1" ht="30.75" customHeight="1">
      <c r="A87" s="68" t="s">
        <v>104</v>
      </c>
      <c r="B87" s="77">
        <v>0</v>
      </c>
      <c r="C87" s="70"/>
      <c r="D87" s="27"/>
      <c r="E87" s="32">
        <f t="shared" si="4"/>
        <v>0</v>
      </c>
      <c r="F87" s="32"/>
      <c r="G87" s="32"/>
      <c r="H87" s="33"/>
      <c r="I87" s="33"/>
      <c r="J87" s="33"/>
      <c r="K87" s="33"/>
      <c r="L87" s="33"/>
    </row>
    <row r="88" spans="1:12" s="28" customFormat="1">
      <c r="A88" s="68" t="s">
        <v>105</v>
      </c>
      <c r="B88" s="77">
        <v>31958</v>
      </c>
      <c r="C88" s="70"/>
      <c r="D88" s="27"/>
      <c r="E88" s="32">
        <f t="shared" si="4"/>
        <v>6.8515124309564013E-4</v>
      </c>
      <c r="F88" s="32"/>
      <c r="G88" s="32"/>
    </row>
    <row r="89" spans="1:12" s="28" customFormat="1">
      <c r="A89" s="68" t="s">
        <v>35</v>
      </c>
      <c r="B89" s="77"/>
      <c r="C89" s="70"/>
      <c r="D89" s="27"/>
      <c r="E89" s="32">
        <f t="shared" si="4"/>
        <v>0</v>
      </c>
      <c r="F89" s="32"/>
      <c r="G89" s="32"/>
    </row>
    <row r="90" spans="1:12" s="28" customFormat="1">
      <c r="A90" s="67" t="s">
        <v>106</v>
      </c>
      <c r="B90" s="104"/>
      <c r="C90" s="95">
        <f>SUM(B91:B104)</f>
        <v>6501744</v>
      </c>
      <c r="D90" s="27"/>
      <c r="E90" s="32"/>
      <c r="F90" s="32">
        <f>SUM(E91:E104)</f>
        <v>0.13939163852211089</v>
      </c>
      <c r="G90" s="32"/>
    </row>
    <row r="91" spans="1:12" s="28" customFormat="1">
      <c r="A91" s="68" t="s">
        <v>107</v>
      </c>
      <c r="B91" s="77">
        <v>0</v>
      </c>
      <c r="C91" s="70"/>
      <c r="D91" s="27"/>
      <c r="E91" s="32">
        <f t="shared" ref="E91:E104" si="5">B91/$D$121</f>
        <v>0</v>
      </c>
      <c r="F91" s="32"/>
      <c r="G91" s="32"/>
    </row>
    <row r="92" spans="1:12" s="28" customFormat="1" ht="28.5" customHeight="1">
      <c r="A92" s="68" t="s">
        <v>108</v>
      </c>
      <c r="B92" s="72">
        <v>0</v>
      </c>
      <c r="C92" s="70"/>
      <c r="D92" s="27"/>
      <c r="E92" s="32">
        <f t="shared" si="5"/>
        <v>0</v>
      </c>
      <c r="F92" s="32"/>
      <c r="G92" s="32"/>
    </row>
    <row r="93" spans="1:12" s="28" customFormat="1" ht="27" customHeight="1">
      <c r="A93" s="68" t="s">
        <v>109</v>
      </c>
      <c r="B93" s="72">
        <v>0</v>
      </c>
      <c r="C93" s="70"/>
      <c r="D93" s="27"/>
      <c r="E93" s="32">
        <f t="shared" si="5"/>
        <v>0</v>
      </c>
      <c r="F93" s="32"/>
      <c r="G93" s="32"/>
    </row>
    <row r="94" spans="1:12" s="28" customFormat="1" ht="25.5">
      <c r="A94" s="68" t="s">
        <v>110</v>
      </c>
      <c r="B94" s="72">
        <v>0</v>
      </c>
      <c r="C94" s="70"/>
      <c r="D94" s="27"/>
      <c r="E94" s="32">
        <f t="shared" si="5"/>
        <v>0</v>
      </c>
      <c r="F94" s="32"/>
      <c r="G94" s="32"/>
    </row>
    <row r="95" spans="1:12" s="28" customFormat="1" ht="27.75" customHeight="1">
      <c r="A95" s="68" t="s">
        <v>111</v>
      </c>
      <c r="B95" s="72">
        <v>0</v>
      </c>
      <c r="C95" s="70"/>
      <c r="D95" s="27"/>
      <c r="E95" s="32">
        <f t="shared" si="5"/>
        <v>0</v>
      </c>
      <c r="F95" s="32"/>
      <c r="G95" s="32"/>
    </row>
    <row r="96" spans="1:12" s="28" customFormat="1" ht="25.5">
      <c r="A96" s="68" t="s">
        <v>112</v>
      </c>
      <c r="B96" s="72">
        <v>0</v>
      </c>
      <c r="C96" s="70"/>
      <c r="D96" s="27"/>
      <c r="E96" s="32">
        <f t="shared" si="5"/>
        <v>0</v>
      </c>
      <c r="F96" s="32"/>
      <c r="G96" s="32"/>
    </row>
    <row r="97" spans="1:10" s="28" customFormat="1" ht="27.75" customHeight="1">
      <c r="A97" s="68" t="s">
        <v>113</v>
      </c>
      <c r="B97" s="72">
        <v>0</v>
      </c>
      <c r="C97" s="70"/>
      <c r="D97" s="27"/>
      <c r="E97" s="32">
        <f t="shared" si="5"/>
        <v>0</v>
      </c>
      <c r="F97" s="32"/>
      <c r="G97" s="32"/>
    </row>
    <row r="98" spans="1:10" s="28" customFormat="1" ht="27" customHeight="1">
      <c r="A98" s="68" t="s">
        <v>114</v>
      </c>
      <c r="B98" s="72">
        <v>0</v>
      </c>
      <c r="C98" s="70"/>
      <c r="D98" s="27"/>
      <c r="E98" s="32">
        <f t="shared" si="5"/>
        <v>0</v>
      </c>
      <c r="F98" s="32"/>
      <c r="G98" s="32"/>
      <c r="J98" s="89"/>
    </row>
    <row r="99" spans="1:10" s="28" customFormat="1">
      <c r="A99" s="68" t="s">
        <v>115</v>
      </c>
      <c r="B99" s="77">
        <f>1108438+5393306</f>
        <v>6501744</v>
      </c>
      <c r="C99" s="70"/>
      <c r="D99" s="27"/>
      <c r="E99" s="32">
        <f t="shared" si="5"/>
        <v>0.13939163852211089</v>
      </c>
      <c r="F99" s="32"/>
      <c r="G99" s="32"/>
    </row>
    <row r="100" spans="1:10" s="28" customFormat="1">
      <c r="A100" s="68" t="s">
        <v>116</v>
      </c>
      <c r="B100" s="77">
        <v>0</v>
      </c>
      <c r="C100" s="70"/>
      <c r="D100" s="27"/>
      <c r="E100" s="32">
        <f t="shared" si="5"/>
        <v>0</v>
      </c>
      <c r="F100" s="32"/>
      <c r="G100" s="32"/>
    </row>
    <row r="101" spans="1:10" s="28" customFormat="1">
      <c r="A101" s="68" t="s">
        <v>117</v>
      </c>
      <c r="B101" s="77"/>
      <c r="C101" s="70"/>
      <c r="D101" s="27"/>
      <c r="E101" s="32">
        <f t="shared" si="5"/>
        <v>0</v>
      </c>
      <c r="F101" s="32"/>
      <c r="G101" s="32"/>
    </row>
    <row r="102" spans="1:10" s="28" customFormat="1" ht="25.5">
      <c r="A102" s="68" t="s">
        <v>118</v>
      </c>
      <c r="B102" s="77">
        <v>0</v>
      </c>
      <c r="C102" s="70"/>
      <c r="D102" s="27"/>
      <c r="E102" s="32">
        <f t="shared" si="5"/>
        <v>0</v>
      </c>
      <c r="F102" s="32"/>
      <c r="G102" s="32"/>
      <c r="H102" s="33"/>
    </row>
    <row r="103" spans="1:10" s="28" customFormat="1">
      <c r="A103" s="68" t="s">
        <v>119</v>
      </c>
      <c r="B103" s="77">
        <v>0</v>
      </c>
      <c r="C103" s="70"/>
      <c r="D103" s="27"/>
      <c r="E103" s="32">
        <f t="shared" si="5"/>
        <v>0</v>
      </c>
      <c r="F103" s="32"/>
      <c r="G103" s="32"/>
      <c r="H103" s="33"/>
    </row>
    <row r="104" spans="1:10" s="28" customFormat="1">
      <c r="A104" s="68" t="s">
        <v>35</v>
      </c>
      <c r="B104" s="77"/>
      <c r="C104" s="70"/>
      <c r="D104" s="27"/>
      <c r="E104" s="32">
        <f t="shared" si="5"/>
        <v>0</v>
      </c>
      <c r="F104" s="32"/>
      <c r="G104" s="32"/>
    </row>
    <row r="105" spans="1:10" s="31" customFormat="1">
      <c r="A105" s="66" t="s">
        <v>120</v>
      </c>
      <c r="B105" s="105"/>
      <c r="C105" s="69"/>
      <c r="D105" s="29">
        <f>SUM(C106:C120)</f>
        <v>37495452</v>
      </c>
      <c r="E105" s="30"/>
      <c r="F105" s="30"/>
      <c r="G105" s="30">
        <f>SUM(F106:F120)</f>
        <v>0.8038693143573723</v>
      </c>
    </row>
    <row r="106" spans="1:10" s="28" customFormat="1">
      <c r="A106" s="67" t="s">
        <v>121</v>
      </c>
      <c r="B106" s="104"/>
      <c r="C106" s="95">
        <f>SUM(B107:B120)</f>
        <v>37495452</v>
      </c>
      <c r="D106" s="27"/>
      <c r="E106" s="32"/>
      <c r="F106" s="32">
        <f>SUM(E107:E120)</f>
        <v>0.8038693143573723</v>
      </c>
      <c r="G106" s="32"/>
    </row>
    <row r="107" spans="1:10" s="28" customFormat="1">
      <c r="A107" s="68" t="s">
        <v>122</v>
      </c>
      <c r="B107" s="77">
        <v>2138833</v>
      </c>
      <c r="C107" s="70"/>
      <c r="D107" s="27"/>
      <c r="E107" s="32">
        <f t="shared" ref="E107:E120" si="6">B107/$D$121</f>
        <v>4.5854687049376598E-2</v>
      </c>
      <c r="F107" s="32"/>
      <c r="G107" s="32"/>
    </row>
    <row r="108" spans="1:10" s="28" customFormat="1">
      <c r="A108" s="68" t="s">
        <v>123</v>
      </c>
      <c r="B108" s="77">
        <v>0</v>
      </c>
      <c r="C108" s="70"/>
      <c r="D108" s="27"/>
      <c r="E108" s="32">
        <f t="shared" si="6"/>
        <v>0</v>
      </c>
      <c r="F108" s="32"/>
      <c r="G108" s="32"/>
    </row>
    <row r="109" spans="1:10" s="28" customFormat="1">
      <c r="A109" s="68" t="s">
        <v>124</v>
      </c>
      <c r="B109" s="77">
        <v>23214829</v>
      </c>
      <c r="C109" s="70"/>
      <c r="D109" s="27"/>
      <c r="E109" s="32">
        <f t="shared" si="6"/>
        <v>0.49770539294081972</v>
      </c>
      <c r="F109" s="32"/>
      <c r="G109" s="32"/>
    </row>
    <row r="110" spans="1:10" s="28" customFormat="1" ht="25.5">
      <c r="A110" s="68" t="s">
        <v>173</v>
      </c>
      <c r="B110" s="77">
        <v>12632049</v>
      </c>
      <c r="C110" s="70"/>
      <c r="D110" s="27"/>
      <c r="E110" s="32">
        <f t="shared" si="6"/>
        <v>0.27081995353886468</v>
      </c>
      <c r="F110" s="32"/>
      <c r="G110" s="32"/>
    </row>
    <row r="111" spans="1:10" s="28" customFormat="1">
      <c r="A111" s="68" t="s">
        <v>125</v>
      </c>
      <c r="B111" s="77">
        <v>0</v>
      </c>
      <c r="C111" s="70"/>
      <c r="D111" s="27"/>
      <c r="E111" s="32">
        <f t="shared" si="6"/>
        <v>0</v>
      </c>
      <c r="F111" s="32"/>
      <c r="G111" s="32"/>
    </row>
    <row r="112" spans="1:10" s="28" customFormat="1" ht="24.75" customHeight="1">
      <c r="A112" s="68" t="s">
        <v>153</v>
      </c>
      <c r="B112" s="77">
        <v>0</v>
      </c>
      <c r="C112" s="70"/>
      <c r="D112" s="27"/>
      <c r="E112" s="32">
        <f>B112/$D$121</f>
        <v>0</v>
      </c>
      <c r="F112" s="32"/>
      <c r="G112" s="32"/>
    </row>
    <row r="113" spans="1:7" s="28" customFormat="1">
      <c r="A113" s="68" t="s">
        <v>126</v>
      </c>
      <c r="B113" s="77">
        <v>7000</v>
      </c>
      <c r="C113" s="70"/>
      <c r="D113" s="27"/>
      <c r="E113" s="32">
        <f t="shared" si="6"/>
        <v>1.5007380629793732E-4</v>
      </c>
      <c r="F113" s="32"/>
      <c r="G113" s="32"/>
    </row>
    <row r="114" spans="1:7" s="28" customFormat="1">
      <c r="A114" s="68" t="s">
        <v>127</v>
      </c>
      <c r="B114" s="77">
        <v>0</v>
      </c>
      <c r="C114" s="70"/>
      <c r="D114" s="27"/>
      <c r="E114" s="32">
        <f t="shared" si="6"/>
        <v>0</v>
      </c>
      <c r="F114" s="32"/>
      <c r="G114" s="32"/>
    </row>
    <row r="115" spans="1:7" s="28" customFormat="1">
      <c r="A115" s="68" t="s">
        <v>128</v>
      </c>
      <c r="B115" s="77"/>
      <c r="C115" s="70"/>
      <c r="D115" s="27"/>
      <c r="E115" s="32">
        <f t="shared" si="6"/>
        <v>0</v>
      </c>
      <c r="F115" s="32"/>
      <c r="G115" s="32"/>
    </row>
    <row r="116" spans="1:7" s="28" customFormat="1">
      <c r="A116" s="68" t="s">
        <v>35</v>
      </c>
      <c r="B116" s="77"/>
      <c r="C116" s="70"/>
      <c r="D116" s="27"/>
      <c r="E116" s="32">
        <f t="shared" si="6"/>
        <v>0</v>
      </c>
      <c r="F116" s="32"/>
      <c r="G116" s="32"/>
    </row>
    <row r="117" spans="1:7" s="28" customFormat="1">
      <c r="A117" s="68" t="s">
        <v>129</v>
      </c>
      <c r="B117" s="77"/>
      <c r="C117" s="70"/>
      <c r="D117" s="27"/>
      <c r="E117" s="32">
        <f t="shared" si="6"/>
        <v>0</v>
      </c>
      <c r="F117" s="32"/>
      <c r="G117" s="32"/>
    </row>
    <row r="118" spans="1:7" s="28" customFormat="1">
      <c r="A118" s="68" t="s">
        <v>130</v>
      </c>
      <c r="B118" s="77">
        <v>-535206</v>
      </c>
      <c r="C118" s="70"/>
      <c r="D118" s="27"/>
      <c r="E118" s="32">
        <f t="shared" si="6"/>
        <v>-1.1474343081927692E-2</v>
      </c>
      <c r="F118" s="32"/>
      <c r="G118" s="32"/>
    </row>
    <row r="119" spans="1:7" s="28" customFormat="1">
      <c r="A119" s="68" t="s">
        <v>131</v>
      </c>
      <c r="B119" s="77">
        <v>37947</v>
      </c>
      <c r="C119" s="70"/>
      <c r="D119" s="27"/>
      <c r="E119" s="32">
        <f t="shared" si="6"/>
        <v>8.1355010394111821E-4</v>
      </c>
      <c r="F119" s="32"/>
      <c r="G119" s="32"/>
    </row>
    <row r="120" spans="1:7" s="28" customFormat="1">
      <c r="A120" s="68" t="s">
        <v>132</v>
      </c>
      <c r="B120" s="77">
        <v>0</v>
      </c>
      <c r="C120" s="70"/>
      <c r="D120" s="27"/>
      <c r="E120" s="32">
        <f t="shared" si="6"/>
        <v>0</v>
      </c>
      <c r="F120" s="32"/>
      <c r="G120" s="32"/>
    </row>
    <row r="121" spans="1:7" s="31" customFormat="1">
      <c r="A121" s="66" t="s">
        <v>133</v>
      </c>
      <c r="B121" s="76"/>
      <c r="C121" s="70"/>
      <c r="D121" s="96">
        <f>SUM(D66:D120)</f>
        <v>46643716</v>
      </c>
      <c r="E121" s="32"/>
      <c r="F121" s="32"/>
      <c r="G121" s="30">
        <f>SUM(G66:G120)</f>
        <v>1.0000000428782303</v>
      </c>
    </row>
    <row r="124" spans="1:7">
      <c r="D124" s="1"/>
    </row>
    <row r="127" spans="1:7">
      <c r="A127" s="4"/>
    </row>
  </sheetData>
  <sheetProtection selectLockedCells="1" selectUnlockedCells="1"/>
  <mergeCells count="5">
    <mergeCell ref="A1:G1"/>
    <mergeCell ref="B65:C65"/>
    <mergeCell ref="A3:G3"/>
    <mergeCell ref="B4:C4"/>
    <mergeCell ref="E4:G4"/>
  </mergeCells>
  <phoneticPr fontId="4" type="noConversion"/>
  <pageMargins left="0.35433070866141736" right="0.47244094488188981" top="1.0629921259842521" bottom="1.0629921259842521" header="0.78740157480314965" footer="0.78740157480314965"/>
  <pageSetup paperSize="9" scale="90" firstPageNumber="0" orientation="portrait" r:id="rId1"/>
  <headerFooter alignWithMargins="0">
    <oddFooter>&amp;C&amp;"Times New Roman,Normale"&amp;12Pagina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B28"/>
  <sheetViews>
    <sheetView workbookViewId="0">
      <selection activeCell="F8" sqref="F8"/>
    </sheetView>
  </sheetViews>
  <sheetFormatPr defaultRowHeight="12.75"/>
  <cols>
    <col min="1" max="1" width="64.5703125" bestFit="1" customWidth="1"/>
    <col min="2" max="2" width="23.7109375" customWidth="1"/>
  </cols>
  <sheetData>
    <row r="1" spans="1:2">
      <c r="A1" s="108" t="s">
        <v>186</v>
      </c>
      <c r="B1" s="156">
        <v>2021</v>
      </c>
    </row>
    <row r="2" spans="1:2">
      <c r="A2" s="109"/>
      <c r="B2" s="110"/>
    </row>
    <row r="3" spans="1:2">
      <c r="A3" s="111" t="s">
        <v>175</v>
      </c>
      <c r="B3" s="112">
        <f>+[1]CONT_ECONOMICO!B127</f>
        <v>37947.090000000084</v>
      </c>
    </row>
    <row r="4" spans="1:2">
      <c r="A4" s="113" t="s">
        <v>187</v>
      </c>
      <c r="B4" s="110">
        <f>+[1]CONT_ECONOMICO!B63+[1]CONT_ECONOMICO!B64</f>
        <v>1469855.9400000002</v>
      </c>
    </row>
    <row r="5" spans="1:2">
      <c r="A5" s="113" t="s">
        <v>188</v>
      </c>
      <c r="B5" s="110">
        <f>+[1]CONT_ECONOMICO!B66</f>
        <v>35938.92</v>
      </c>
    </row>
    <row r="6" spans="1:2">
      <c r="A6" s="114" t="s">
        <v>189</v>
      </c>
      <c r="B6" s="110">
        <f>+[1]CONT_ECONOMICO!B75</f>
        <v>196687.97</v>
      </c>
    </row>
    <row r="7" spans="1:2">
      <c r="A7" s="113" t="s">
        <v>190</v>
      </c>
      <c r="B7" s="110">
        <v>0</v>
      </c>
    </row>
    <row r="8" spans="1:2">
      <c r="A8" s="113" t="s">
        <v>191</v>
      </c>
      <c r="B8" s="110">
        <v>0</v>
      </c>
    </row>
    <row r="9" spans="1:2">
      <c r="A9" s="115" t="s">
        <v>192</v>
      </c>
      <c r="B9" s="110">
        <f>-[1]CONT_ECONOMICO!B14</f>
        <v>-1463164.25</v>
      </c>
    </row>
    <row r="10" spans="1:2">
      <c r="A10" s="116" t="s">
        <v>193</v>
      </c>
      <c r="B10" s="117">
        <f>SUM(B3:B9)</f>
        <v>277265.67000000016</v>
      </c>
    </row>
    <row r="11" spans="1:2">
      <c r="A11" s="115" t="s">
        <v>194</v>
      </c>
      <c r="B11" s="118">
        <f>+[1]SP_ATTIVO!D78-[1]CONT_ECONOMICO!B66</f>
        <v>16896.240000002013</v>
      </c>
    </row>
    <row r="12" spans="1:2">
      <c r="A12" s="113" t="s">
        <v>195</v>
      </c>
      <c r="B12" s="118">
        <f>+[1]SP_ATTIVO!D95</f>
        <v>-22154.83</v>
      </c>
    </row>
    <row r="13" spans="1:2">
      <c r="A13" s="113" t="s">
        <v>196</v>
      </c>
      <c r="B13" s="118">
        <f>+[1]SP_ATTIVO!D43</f>
        <v>13882.690000000002</v>
      </c>
    </row>
    <row r="14" spans="1:2">
      <c r="A14" s="115" t="s">
        <v>197</v>
      </c>
      <c r="B14" s="118">
        <f>-[1]SP_PASSIVO!D19-[1]CONT_ECONOMICO!B75</f>
        <v>-149348.76999999999</v>
      </c>
    </row>
    <row r="15" spans="1:2">
      <c r="A15" s="115" t="s">
        <v>198</v>
      </c>
      <c r="B15" s="110">
        <f>-[1]SP_PASSIVO!D72-B20</f>
        <v>-169816.64999999758</v>
      </c>
    </row>
    <row r="16" spans="1:2">
      <c r="A16" s="113" t="s">
        <v>176</v>
      </c>
      <c r="B16" s="118">
        <f>-[1]SP_PASSIVO!D76</f>
        <v>-86535.3</v>
      </c>
    </row>
    <row r="17" spans="1:2">
      <c r="A17" s="115" t="s">
        <v>199</v>
      </c>
      <c r="B17" s="110">
        <f>-[1]SP_PASSIVO!D14-B3</f>
        <v>-1311499.6200000013</v>
      </c>
    </row>
    <row r="18" spans="1:2">
      <c r="A18" s="115" t="s">
        <v>200</v>
      </c>
      <c r="B18" s="118">
        <f>+[1]SP_ATTIVO!D7</f>
        <v>66678</v>
      </c>
    </row>
    <row r="19" spans="1:2">
      <c r="A19" s="119" t="s">
        <v>201</v>
      </c>
      <c r="B19" s="120">
        <f>SUM(B10:B18)</f>
        <v>-1364632.5699999966</v>
      </c>
    </row>
    <row r="20" spans="1:2">
      <c r="A20" s="113" t="s">
        <v>202</v>
      </c>
      <c r="B20" s="110">
        <f>-[1]SP_PASSIVO!D26</f>
        <v>119108.12000000011</v>
      </c>
    </row>
    <row r="21" spans="1:2">
      <c r="A21" s="113" t="s">
        <v>203</v>
      </c>
      <c r="B21" s="118">
        <f>8880-8880</f>
        <v>0</v>
      </c>
    </row>
    <row r="22" spans="1:2">
      <c r="A22" s="115" t="s">
        <v>204</v>
      </c>
      <c r="B22" s="118">
        <f>+[1]SP_ATTIVO!D30-[1]CONT_ECONOMICO!B64+[1]CONT_ECONOMICO!B14</f>
        <v>1352777.6500000095</v>
      </c>
    </row>
    <row r="23" spans="1:2">
      <c r="A23" s="113" t="s">
        <v>205</v>
      </c>
      <c r="B23" s="118">
        <v>0</v>
      </c>
    </row>
    <row r="24" spans="1:2">
      <c r="A24" s="121" t="s">
        <v>177</v>
      </c>
      <c r="B24" s="122">
        <f>SUM(B19:B23)</f>
        <v>107253.20000001299</v>
      </c>
    </row>
    <row r="25" spans="1:2">
      <c r="A25" s="113" t="s">
        <v>206</v>
      </c>
      <c r="B25" s="123">
        <v>0</v>
      </c>
    </row>
    <row r="26" spans="1:2">
      <c r="A26" s="121" t="s">
        <v>178</v>
      </c>
      <c r="B26" s="124">
        <f>SUM(B24:B25)</f>
        <v>107253.20000001299</v>
      </c>
    </row>
    <row r="27" spans="1:2">
      <c r="A27" s="125" t="s">
        <v>207</v>
      </c>
      <c r="B27" s="110">
        <f>+[1]SP_ATTIVO!C90</f>
        <v>296231</v>
      </c>
    </row>
    <row r="28" spans="1:2">
      <c r="A28" s="126" t="s">
        <v>208</v>
      </c>
      <c r="B28" s="127">
        <f>B26+B27+1</f>
        <v>403485.20000001299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M78"/>
  <sheetViews>
    <sheetView zoomScale="130" zoomScaleNormal="130" zoomScalePageLayoutView="80" workbookViewId="0">
      <selection activeCell="B7" sqref="B7"/>
    </sheetView>
  </sheetViews>
  <sheetFormatPr defaultColWidth="11.5703125" defaultRowHeight="11.25"/>
  <cols>
    <col min="1" max="1" width="54.7109375" style="35" customWidth="1"/>
    <col min="2" max="2" width="16.140625" style="35" customWidth="1"/>
    <col min="3" max="3" width="6.140625" style="35" customWidth="1"/>
    <col min="4" max="4" width="7" style="35" bestFit="1" customWidth="1"/>
    <col min="5" max="5" width="11.5703125" style="35" customWidth="1"/>
    <col min="6" max="6" width="0.28515625" style="35" customWidth="1"/>
    <col min="7" max="7" width="16.28515625" style="35" customWidth="1"/>
    <col min="8" max="8" width="11.5703125" style="35" customWidth="1"/>
    <col min="9" max="9" width="23.7109375" style="35" customWidth="1"/>
    <col min="10" max="10" width="28.28515625" style="35" customWidth="1"/>
    <col min="11" max="11" width="11.5703125" style="35" customWidth="1"/>
    <col min="12" max="12" width="14" style="35" customWidth="1"/>
    <col min="13" max="13" width="21.7109375" style="35" customWidth="1"/>
    <col min="14" max="14" width="42.28515625" style="35" customWidth="1"/>
    <col min="15" max="15" width="20.28515625" style="35" customWidth="1"/>
    <col min="16" max="16" width="13" style="35" customWidth="1"/>
    <col min="17" max="16384" width="11.5703125" style="35"/>
  </cols>
  <sheetData>
    <row r="1" spans="1:13">
      <c r="A1" s="37"/>
      <c r="B1" s="38"/>
      <c r="C1" s="39"/>
      <c r="I1" s="40"/>
      <c r="J1" s="40"/>
      <c r="K1" s="40"/>
      <c r="L1" s="40"/>
      <c r="M1" s="40"/>
    </row>
    <row r="2" spans="1:13">
      <c r="A2" s="34" t="s">
        <v>155</v>
      </c>
      <c r="B2" s="39"/>
      <c r="C2" s="39"/>
      <c r="I2" s="41"/>
      <c r="J2" s="42"/>
      <c r="K2" s="42"/>
      <c r="L2" s="42"/>
      <c r="M2" s="40"/>
    </row>
    <row r="3" spans="1:13">
      <c r="A3" s="34"/>
      <c r="B3" s="39"/>
      <c r="C3" s="39"/>
      <c r="I3" s="40"/>
      <c r="J3" s="42"/>
      <c r="K3" s="42"/>
      <c r="L3" s="42"/>
      <c r="M3" s="40"/>
    </row>
    <row r="4" spans="1:13">
      <c r="A4" s="34" t="s">
        <v>156</v>
      </c>
      <c r="B4" s="39"/>
      <c r="C4" s="39"/>
      <c r="I4" s="40"/>
      <c r="J4" s="42"/>
      <c r="K4" s="42"/>
      <c r="L4" s="42"/>
      <c r="M4" s="40"/>
    </row>
    <row r="5" spans="1:13">
      <c r="A5" s="37"/>
      <c r="B5" s="39"/>
      <c r="C5" s="39"/>
      <c r="I5" s="40"/>
      <c r="J5" s="42"/>
      <c r="K5" s="42"/>
      <c r="L5" s="42"/>
      <c r="M5" s="40"/>
    </row>
    <row r="6" spans="1:13">
      <c r="A6" s="43" t="s">
        <v>157</v>
      </c>
      <c r="B6" s="44">
        <f>'SP  DESTINATIVO FINANZIARIO'!D5</f>
        <v>3279866</v>
      </c>
      <c r="C6" s="150" t="s">
        <v>134</v>
      </c>
      <c r="D6" s="151">
        <f>B6/B7</f>
        <v>1.2393127578858274</v>
      </c>
      <c r="I6" s="40"/>
      <c r="J6" s="42"/>
      <c r="K6" s="42"/>
      <c r="L6" s="42"/>
      <c r="M6" s="40"/>
    </row>
    <row r="7" spans="1:13">
      <c r="A7" s="46" t="s">
        <v>158</v>
      </c>
      <c r="B7" s="39">
        <f>'SP  DESTINATIVO FINANZIARIO'!C67</f>
        <v>2646520</v>
      </c>
      <c r="C7" s="150"/>
      <c r="D7" s="151"/>
      <c r="I7" s="40"/>
      <c r="J7" s="42"/>
      <c r="K7" s="40"/>
      <c r="L7" s="42"/>
      <c r="M7" s="40"/>
    </row>
    <row r="8" spans="1:13">
      <c r="A8" s="46"/>
      <c r="B8" s="39"/>
      <c r="C8" s="45"/>
      <c r="D8" s="78"/>
      <c r="I8" s="40"/>
      <c r="J8" s="42"/>
      <c r="K8" s="40"/>
      <c r="L8" s="42"/>
      <c r="M8" s="40"/>
    </row>
    <row r="9" spans="1:13">
      <c r="A9" s="37"/>
      <c r="B9" s="39"/>
      <c r="C9" s="45"/>
      <c r="D9" s="47"/>
      <c r="I9" s="40"/>
      <c r="J9" s="42"/>
      <c r="K9" s="40"/>
      <c r="L9" s="40"/>
      <c r="M9" s="40"/>
    </row>
    <row r="10" spans="1:13">
      <c r="A10" s="34" t="s">
        <v>159</v>
      </c>
      <c r="B10" s="39"/>
      <c r="C10" s="45"/>
      <c r="D10" s="47"/>
      <c r="E10" s="48"/>
      <c r="M10" s="40"/>
    </row>
    <row r="11" spans="1:13">
      <c r="A11" s="37"/>
      <c r="B11" s="38"/>
      <c r="C11" s="39"/>
      <c r="F11" s="48"/>
      <c r="G11" s="48"/>
      <c r="M11" s="40"/>
    </row>
    <row r="12" spans="1:13">
      <c r="A12" s="49" t="s">
        <v>160</v>
      </c>
      <c r="B12" s="50">
        <f>'SP  DESTINATIVO FINANZIARIO'!C6+'SP  DESTINATIVO FINANZIARIO'!C11</f>
        <v>3184686</v>
      </c>
      <c r="C12" s="150" t="s">
        <v>134</v>
      </c>
      <c r="D12" s="151">
        <f>B12/B13</f>
        <v>1.2033485482822726</v>
      </c>
      <c r="F12" s="48"/>
      <c r="G12" s="48"/>
      <c r="I12" s="40"/>
      <c r="J12" s="42"/>
      <c r="K12" s="42"/>
      <c r="L12" s="42"/>
      <c r="M12" s="40"/>
    </row>
    <row r="13" spans="1:13">
      <c r="A13" s="35" t="s">
        <v>158</v>
      </c>
      <c r="B13" s="39">
        <f>'SP  DESTINATIVO FINANZIARIO'!C67</f>
        <v>2646520</v>
      </c>
      <c r="C13" s="150"/>
      <c r="D13" s="151"/>
      <c r="E13" s="48"/>
      <c r="F13" s="48"/>
      <c r="G13" s="48"/>
      <c r="I13" s="40"/>
      <c r="J13" s="40"/>
      <c r="K13" s="40"/>
      <c r="L13" s="40"/>
      <c r="M13" s="40"/>
    </row>
    <row r="14" spans="1:13">
      <c r="A14" s="37"/>
      <c r="B14" s="39"/>
      <c r="C14" s="45"/>
      <c r="D14" s="47"/>
      <c r="E14" s="48"/>
      <c r="F14" s="48"/>
      <c r="G14" s="48"/>
      <c r="I14" s="40"/>
      <c r="J14" s="40"/>
      <c r="K14" s="40"/>
      <c r="L14" s="40"/>
      <c r="M14" s="40"/>
    </row>
    <row r="15" spans="1:13">
      <c r="A15" s="37"/>
      <c r="B15" s="39"/>
      <c r="C15" s="45"/>
      <c r="D15" s="47"/>
      <c r="E15" s="48"/>
      <c r="F15" s="48"/>
      <c r="G15" s="48"/>
      <c r="I15" s="40"/>
      <c r="J15" s="40"/>
      <c r="K15" s="40"/>
      <c r="L15" s="40"/>
      <c r="M15" s="40"/>
    </row>
    <row r="16" spans="1:13">
      <c r="A16" s="82" t="s">
        <v>169</v>
      </c>
      <c r="B16" s="39"/>
      <c r="C16" s="45"/>
      <c r="D16" s="47"/>
      <c r="E16" s="48"/>
      <c r="F16" s="48"/>
      <c r="G16" s="48"/>
      <c r="I16" s="40"/>
      <c r="J16" s="40"/>
      <c r="K16" s="40"/>
      <c r="L16" s="40"/>
      <c r="M16" s="40"/>
    </row>
    <row r="17" spans="1:13">
      <c r="A17" s="37"/>
      <c r="B17" s="39"/>
      <c r="C17" s="45"/>
      <c r="D17" s="47"/>
      <c r="E17" s="48"/>
      <c r="F17" s="48"/>
      <c r="G17" s="48"/>
      <c r="I17" s="40"/>
      <c r="J17" s="40"/>
      <c r="K17" s="40"/>
      <c r="L17" s="40"/>
      <c r="M17" s="40"/>
    </row>
    <row r="18" spans="1:13">
      <c r="A18" s="83" t="s">
        <v>164</v>
      </c>
      <c r="B18" s="84">
        <f>'SP  DESTINATIVO FINANZIARIO'!B69</f>
        <v>766569</v>
      </c>
      <c r="C18" s="79" t="s">
        <v>165</v>
      </c>
      <c r="D18" s="85">
        <f>(B18/B19)*360</f>
        <v>68.177881957191673</v>
      </c>
      <c r="E18" s="48"/>
      <c r="F18" s="48"/>
      <c r="G18" s="48"/>
      <c r="I18" s="40"/>
      <c r="J18" s="40"/>
      <c r="K18" s="40"/>
      <c r="L18" s="40"/>
      <c r="M18" s="40"/>
    </row>
    <row r="19" spans="1:13">
      <c r="A19" s="80" t="s">
        <v>163</v>
      </c>
      <c r="B19" s="38">
        <f>224696+3819100+3922</f>
        <v>4047718</v>
      </c>
      <c r="C19" s="79"/>
      <c r="D19" s="81"/>
      <c r="E19" s="48"/>
      <c r="F19" s="48"/>
      <c r="G19" s="48"/>
      <c r="I19" s="40"/>
      <c r="J19" s="40"/>
      <c r="K19" s="40"/>
      <c r="L19" s="40"/>
      <c r="M19" s="40"/>
    </row>
    <row r="20" spans="1:13">
      <c r="A20" s="80"/>
      <c r="B20" s="38"/>
      <c r="C20" s="79"/>
      <c r="D20" s="81"/>
      <c r="E20" s="48"/>
      <c r="F20" s="48"/>
      <c r="G20" s="48"/>
      <c r="I20" s="40"/>
      <c r="J20" s="40"/>
      <c r="K20" s="40"/>
      <c r="L20" s="40"/>
      <c r="M20" s="40"/>
    </row>
    <row r="21" spans="1:13" ht="21.75">
      <c r="A21" s="102" t="s">
        <v>170</v>
      </c>
      <c r="B21" s="38"/>
      <c r="C21" s="79"/>
      <c r="D21" s="81"/>
      <c r="E21" s="48"/>
      <c r="F21" s="48"/>
      <c r="G21" s="48"/>
      <c r="I21" s="40"/>
      <c r="J21" s="40"/>
      <c r="K21" s="40"/>
      <c r="L21" s="40"/>
      <c r="M21" s="40"/>
    </row>
    <row r="22" spans="1:13">
      <c r="A22" s="80"/>
      <c r="B22" s="38"/>
      <c r="C22" s="79"/>
      <c r="D22" s="81"/>
      <c r="E22" s="48"/>
      <c r="F22" s="48"/>
      <c r="G22" s="48"/>
      <c r="I22" s="40"/>
      <c r="J22" s="40"/>
      <c r="K22" s="40"/>
      <c r="L22" s="40"/>
      <c r="M22" s="40"/>
    </row>
    <row r="23" spans="1:13">
      <c r="A23" s="103" t="s">
        <v>166</v>
      </c>
      <c r="B23" s="107">
        <f>237123+1128301+377759+259484</f>
        <v>2002667</v>
      </c>
      <c r="C23" s="79" t="s">
        <v>168</v>
      </c>
      <c r="D23" s="85">
        <f>(B23/B24)*360</f>
        <v>152.87275025020779</v>
      </c>
      <c r="E23" s="48"/>
      <c r="F23" s="48"/>
      <c r="G23" s="48"/>
      <c r="I23" s="40"/>
      <c r="J23" s="40"/>
      <c r="K23" s="40"/>
      <c r="L23" s="40"/>
      <c r="M23" s="40"/>
    </row>
    <row r="24" spans="1:13">
      <c r="A24" s="80" t="s">
        <v>167</v>
      </c>
      <c r="B24" s="38">
        <f>'CE RICL.TO A PIL E ROC ok'!C5</f>
        <v>4716080</v>
      </c>
      <c r="C24" s="79"/>
      <c r="D24" s="81"/>
      <c r="E24" s="48"/>
      <c r="F24" s="48"/>
      <c r="G24" s="48"/>
      <c r="I24" s="40"/>
      <c r="J24" s="40"/>
      <c r="K24" s="40"/>
      <c r="L24" s="40"/>
      <c r="M24" s="40"/>
    </row>
    <row r="25" spans="1:13">
      <c r="E25" s="48"/>
      <c r="F25" s="48"/>
      <c r="G25" s="48"/>
    </row>
    <row r="26" spans="1:13">
      <c r="A26" s="34" t="s">
        <v>135</v>
      </c>
      <c r="E26" s="48"/>
      <c r="F26" s="48"/>
      <c r="G26" s="48"/>
    </row>
    <row r="27" spans="1:13">
      <c r="E27" s="48"/>
      <c r="F27" s="48"/>
      <c r="G27" s="48"/>
    </row>
    <row r="28" spans="1:13">
      <c r="A28" s="34" t="s">
        <v>136</v>
      </c>
      <c r="B28" s="51"/>
    </row>
    <row r="30" spans="1:13">
      <c r="A30" s="49" t="s">
        <v>137</v>
      </c>
      <c r="B30" s="52">
        <f>'CE RICL.TO A PIL E ROC ok'!D33</f>
        <v>37947</v>
      </c>
      <c r="C30" s="150" t="s">
        <v>134</v>
      </c>
      <c r="D30" s="154">
        <f>B30/B31</f>
        <v>0.93993361735856529</v>
      </c>
    </row>
    <row r="31" spans="1:13" s="36" customFormat="1">
      <c r="A31" s="35" t="s">
        <v>138</v>
      </c>
      <c r="B31" s="54">
        <f>'CE RICL.TO A PIL E ROC ok'!D20</f>
        <v>40372</v>
      </c>
      <c r="C31" s="150"/>
      <c r="D31" s="154"/>
    </row>
    <row r="32" spans="1:13">
      <c r="D32" s="53"/>
    </row>
    <row r="33" spans="1:8">
      <c r="D33" s="53"/>
    </row>
    <row r="34" spans="1:8" ht="30.75" customHeight="1">
      <c r="A34" s="34" t="s">
        <v>139</v>
      </c>
      <c r="D34" s="55"/>
    </row>
    <row r="35" spans="1:8">
      <c r="D35" s="55"/>
    </row>
    <row r="36" spans="1:8" ht="35.25" customHeight="1">
      <c r="A36" s="149" t="s">
        <v>162</v>
      </c>
      <c r="B36" s="149"/>
      <c r="D36" s="55"/>
    </row>
    <row r="37" spans="1:8">
      <c r="D37" s="55"/>
    </row>
    <row r="38" spans="1:8">
      <c r="A38" s="34" t="s">
        <v>140</v>
      </c>
      <c r="B38" s="51"/>
    </row>
    <row r="39" spans="1:8">
      <c r="B39" s="51"/>
    </row>
    <row r="40" spans="1:8" ht="13.5" customHeight="1">
      <c r="A40" s="56" t="s">
        <v>179</v>
      </c>
      <c r="B40" s="86">
        <v>243120</v>
      </c>
      <c r="C40" s="150"/>
      <c r="D40" s="153">
        <f>B40/B41</f>
        <v>2.6575533893643647E-2</v>
      </c>
    </row>
    <row r="41" spans="1:8">
      <c r="A41" s="40" t="s">
        <v>180</v>
      </c>
      <c r="B41" s="87">
        <f>+'SP  DESTINATIVO FINANZIARIO'!D66</f>
        <v>9148264</v>
      </c>
      <c r="C41" s="150"/>
      <c r="D41" s="153"/>
    </row>
    <row r="42" spans="1:8">
      <c r="D42" s="55"/>
      <c r="G42" s="128"/>
      <c r="H42" s="129"/>
    </row>
    <row r="43" spans="1:8" ht="22.5" customHeight="1">
      <c r="D43" s="55"/>
      <c r="G43" s="130"/>
      <c r="H43" s="131"/>
    </row>
    <row r="44" spans="1:8" ht="37.5" customHeight="1">
      <c r="A44" s="98" t="s">
        <v>181</v>
      </c>
      <c r="B44" s="40"/>
      <c r="C44" s="40"/>
      <c r="D44" s="99"/>
      <c r="E44" s="100"/>
      <c r="F44" s="40"/>
      <c r="G44" s="130"/>
      <c r="H44" s="131"/>
    </row>
    <row r="45" spans="1:8">
      <c r="A45" s="40"/>
      <c r="B45" s="40"/>
      <c r="C45" s="40"/>
      <c r="D45" s="99"/>
      <c r="E45" s="100"/>
      <c r="F45" s="40"/>
      <c r="G45" s="132"/>
      <c r="H45" s="129"/>
    </row>
    <row r="46" spans="1:8">
      <c r="A46" s="56" t="s">
        <v>141</v>
      </c>
      <c r="B46" s="86">
        <v>177982</v>
      </c>
      <c r="C46" s="152" t="s">
        <v>134</v>
      </c>
      <c r="D46" s="153">
        <f>B46/B47</f>
        <v>7.1050834748106508E-3</v>
      </c>
      <c r="E46" s="100"/>
      <c r="F46" s="40"/>
      <c r="G46" s="100"/>
      <c r="H46" s="133"/>
    </row>
    <row r="47" spans="1:8">
      <c r="A47" s="40" t="s">
        <v>142</v>
      </c>
      <c r="B47" s="87">
        <f>'SP  DESTINATIVO FINANZIARIO'!B35</f>
        <v>25049952</v>
      </c>
      <c r="C47" s="152"/>
      <c r="D47" s="153"/>
      <c r="E47" s="100"/>
      <c r="F47" s="40"/>
      <c r="G47" s="128"/>
      <c r="H47" s="134"/>
    </row>
    <row r="48" spans="1:8" ht="21.6" customHeight="1">
      <c r="A48" s="40"/>
      <c r="B48" s="87"/>
      <c r="C48" s="79"/>
      <c r="D48" s="81"/>
      <c r="E48" s="100"/>
      <c r="F48" s="40"/>
      <c r="G48" s="135"/>
      <c r="H48" s="136"/>
    </row>
    <row r="49" spans="1:8" ht="44.25" customHeight="1">
      <c r="A49" s="101" t="s">
        <v>209</v>
      </c>
      <c r="B49" s="87"/>
      <c r="C49" s="79"/>
      <c r="D49" s="81"/>
      <c r="E49" s="100"/>
      <c r="F49" s="40"/>
      <c r="G49" s="132"/>
      <c r="H49" s="134"/>
    </row>
    <row r="50" spans="1:8" ht="13.15" customHeight="1">
      <c r="A50" s="101"/>
      <c r="B50" s="87"/>
      <c r="C50" s="79"/>
      <c r="D50" s="81"/>
      <c r="E50" s="100"/>
      <c r="F50" s="40"/>
      <c r="G50" s="128"/>
      <c r="H50" s="137"/>
    </row>
    <row r="51" spans="1:8" ht="13.15" customHeight="1">
      <c r="A51" s="98" t="s">
        <v>182</v>
      </c>
      <c r="B51" s="40"/>
      <c r="C51" s="40"/>
      <c r="D51" s="99"/>
      <c r="E51" s="100"/>
      <c r="F51" s="40"/>
      <c r="G51" s="100"/>
      <c r="H51" s="138"/>
    </row>
    <row r="52" spans="1:8" ht="13.15" customHeight="1">
      <c r="A52" s="40"/>
      <c r="B52" s="40"/>
      <c r="C52" s="40"/>
      <c r="D52" s="99"/>
      <c r="E52" s="100"/>
      <c r="F52" s="40"/>
      <c r="G52" s="100"/>
      <c r="H52" s="138"/>
    </row>
    <row r="53" spans="1:8" ht="13.15" customHeight="1">
      <c r="A53" s="56" t="s">
        <v>141</v>
      </c>
      <c r="B53" s="86">
        <v>167854</v>
      </c>
      <c r="C53" s="152" t="s">
        <v>134</v>
      </c>
      <c r="D53" s="153">
        <f>B53/B54</f>
        <v>6.7007713228352693E-3</v>
      </c>
      <c r="E53" s="100"/>
      <c r="F53" s="40"/>
      <c r="G53" s="100"/>
      <c r="H53" s="138"/>
    </row>
    <row r="54" spans="1:8" ht="13.15" customHeight="1">
      <c r="A54" s="40" t="s">
        <v>142</v>
      </c>
      <c r="B54" s="87">
        <f>'SP  DESTINATIVO FINANZIARIO'!B35</f>
        <v>25049952</v>
      </c>
      <c r="C54" s="152"/>
      <c r="D54" s="153"/>
      <c r="E54" s="100"/>
      <c r="F54" s="40"/>
      <c r="G54" s="128"/>
      <c r="H54" s="137"/>
    </row>
    <row r="55" spans="1:8" ht="13.15" customHeight="1">
      <c r="B55" s="54"/>
      <c r="C55" s="45"/>
      <c r="D55" s="47"/>
      <c r="E55" s="57"/>
      <c r="G55" s="40"/>
      <c r="H55" s="40"/>
    </row>
    <row r="56" spans="1:8" ht="47.25" customHeight="1">
      <c r="A56" s="101" t="s">
        <v>183</v>
      </c>
      <c r="B56" s="87"/>
      <c r="C56" s="79"/>
      <c r="D56" s="81"/>
      <c r="E56" s="100"/>
      <c r="F56" s="40"/>
    </row>
    <row r="57" spans="1:8" ht="13.15" customHeight="1">
      <c r="B57" s="54"/>
      <c r="C57" s="45"/>
      <c r="D57" s="47"/>
      <c r="E57" s="57"/>
      <c r="G57" s="40"/>
      <c r="H57" s="40"/>
    </row>
    <row r="59" spans="1:8">
      <c r="A59" s="34" t="s">
        <v>143</v>
      </c>
    </row>
    <row r="61" spans="1:8">
      <c r="A61" s="34" t="s">
        <v>144</v>
      </c>
      <c r="B61" s="38"/>
    </row>
    <row r="62" spans="1:8">
      <c r="A62" s="37"/>
      <c r="B62" s="38"/>
    </row>
    <row r="63" spans="1:8">
      <c r="A63" s="49" t="s">
        <v>145</v>
      </c>
      <c r="B63" s="50">
        <f>'SP  DESTINATIVO FINANZIARIO'!D105+'SP  DESTINATIVO FINANZIARIO'!C90</f>
        <v>43997196</v>
      </c>
      <c r="C63" s="150" t="s">
        <v>134</v>
      </c>
      <c r="D63" s="151">
        <f>B63/B64</f>
        <v>1.0146053913570865</v>
      </c>
    </row>
    <row r="64" spans="1:8">
      <c r="A64" s="35" t="s">
        <v>146</v>
      </c>
      <c r="B64" s="39">
        <f>'SP  DESTINATIVO FINANZIARIO'!D32</f>
        <v>43363850</v>
      </c>
      <c r="C64" s="150"/>
      <c r="D64" s="151"/>
    </row>
    <row r="65" spans="1:4">
      <c r="A65" s="58"/>
      <c r="B65" s="39"/>
      <c r="D65" s="59"/>
    </row>
    <row r="66" spans="1:4">
      <c r="A66" s="34" t="s">
        <v>147</v>
      </c>
      <c r="B66" s="39"/>
      <c r="D66" s="59"/>
    </row>
    <row r="67" spans="1:4">
      <c r="A67" s="34"/>
      <c r="B67" s="39"/>
      <c r="D67" s="59"/>
    </row>
    <row r="68" spans="1:4">
      <c r="A68" s="49" t="s">
        <v>148</v>
      </c>
      <c r="B68" s="50">
        <f>'SP  DESTINATIVO FINANZIARIO'!D105</f>
        <v>37495452</v>
      </c>
      <c r="C68" s="150" t="s">
        <v>134</v>
      </c>
      <c r="D68" s="151">
        <f>B68/B69</f>
        <v>0.86467073380246451</v>
      </c>
    </row>
    <row r="69" spans="1:4">
      <c r="A69" s="35" t="s">
        <v>149</v>
      </c>
      <c r="B69" s="39">
        <f>'SP  DESTINATIVO FINANZIARIO'!D32</f>
        <v>43363850</v>
      </c>
      <c r="C69" s="150"/>
      <c r="D69" s="151"/>
    </row>
    <row r="70" spans="1:4">
      <c r="A70" s="37"/>
      <c r="B70" s="39"/>
      <c r="D70" s="59"/>
    </row>
    <row r="71" spans="1:4">
      <c r="A71" s="37"/>
      <c r="B71" s="39"/>
      <c r="D71" s="59"/>
    </row>
    <row r="72" spans="1:4">
      <c r="A72" s="60"/>
      <c r="B72" s="61"/>
      <c r="C72" s="57"/>
      <c r="D72" s="62"/>
    </row>
    <row r="73" spans="1:4">
      <c r="A73" s="57"/>
      <c r="B73" s="54"/>
      <c r="C73" s="150"/>
      <c r="D73" s="151"/>
    </row>
    <row r="74" spans="1:4">
      <c r="A74" s="57"/>
      <c r="B74" s="54"/>
      <c r="C74" s="150"/>
      <c r="D74" s="151"/>
    </row>
    <row r="75" spans="1:4">
      <c r="A75" s="57"/>
      <c r="B75" s="54"/>
      <c r="C75" s="57"/>
      <c r="D75" s="62"/>
    </row>
    <row r="76" spans="1:4">
      <c r="A76" s="155"/>
      <c r="B76" s="155"/>
      <c r="C76" s="57"/>
      <c r="D76" s="57"/>
    </row>
    <row r="77" spans="1:4">
      <c r="A77" s="57"/>
      <c r="B77" s="54"/>
      <c r="C77" s="57"/>
      <c r="D77" s="57"/>
    </row>
    <row r="78" spans="1:4">
      <c r="A78" s="57"/>
      <c r="B78" s="57"/>
      <c r="C78" s="57"/>
      <c r="D78" s="57"/>
    </row>
  </sheetData>
  <sheetProtection selectLockedCells="1" selectUnlockedCells="1"/>
  <mergeCells count="20">
    <mergeCell ref="D40:D41"/>
    <mergeCell ref="C73:C74"/>
    <mergeCell ref="D73:D74"/>
    <mergeCell ref="A76:B76"/>
    <mergeCell ref="C63:C64"/>
    <mergeCell ref="D63:D64"/>
    <mergeCell ref="C68:C69"/>
    <mergeCell ref="D68:D69"/>
    <mergeCell ref="C53:C54"/>
    <mergeCell ref="D53:D54"/>
    <mergeCell ref="A36:B36"/>
    <mergeCell ref="C12:C13"/>
    <mergeCell ref="D12:D13"/>
    <mergeCell ref="C6:C7"/>
    <mergeCell ref="D6:D7"/>
    <mergeCell ref="C46:C47"/>
    <mergeCell ref="D46:D47"/>
    <mergeCell ref="C30:C31"/>
    <mergeCell ref="D30:D31"/>
    <mergeCell ref="C40:C41"/>
  </mergeCells>
  <phoneticPr fontId="4" type="noConversion"/>
  <pageMargins left="0.78740157480314965" right="0.78740157480314965" top="1.0629921259842521" bottom="1.0629921259842521" header="0.78740157480314965" footer="0.78740157480314965"/>
  <pageSetup paperSize="9" firstPageNumber="0" orientation="portrait" r:id="rId1"/>
  <headerFooter alignWithMargins="0">
    <oddHeader>&amp;C&amp;"Times New Roman,Normale"&amp;12ANALISI PER INDICI ASP VALLONI MARECCHIA 2016</oddHeader>
    <oddFooter>&amp;C&amp;"Times New Roman,Normale"&amp;12Pagina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</vt:i4>
      </vt:variant>
    </vt:vector>
  </HeadingPairs>
  <TitlesOfParts>
    <vt:vector size="6" baseType="lpstr">
      <vt:lpstr>CE RICL.TO A PIL E ROC ok</vt:lpstr>
      <vt:lpstr>SP  DESTINATIVO FINANZIARIO</vt:lpstr>
      <vt:lpstr>Rendiconto finanz liquidità</vt:lpstr>
      <vt:lpstr>INDICI</vt:lpstr>
      <vt:lpstr>'CE RICL.TO A PIL E ROC ok'!Area_stampa</vt:lpstr>
      <vt:lpstr>INDICI!Area_stampa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MONTALI</dc:creator>
  <cp:lastModifiedBy>QUALITA1</cp:lastModifiedBy>
  <cp:lastPrinted>2021-07-20T12:57:11Z</cp:lastPrinted>
  <dcterms:created xsi:type="dcterms:W3CDTF">2012-05-08T16:03:20Z</dcterms:created>
  <dcterms:modified xsi:type="dcterms:W3CDTF">2022-09-20T10:16:31Z</dcterms:modified>
</cp:coreProperties>
</file>